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edoyl\Documents\SCORE1\Business Plan Templates\"/>
    </mc:Choice>
  </mc:AlternateContent>
  <xr:revisionPtr revIDLastSave="0" documentId="8_{925A77C2-D655-4609-956C-1770C12E871B}" xr6:coauthVersionLast="47" xr6:coauthVersionMax="47" xr10:uidLastSave="{00000000-0000-0000-0000-000000000000}"/>
  <workbookProtection lockStructure="1"/>
  <bookViews>
    <workbookView xWindow="-120" yWindow="-120" windowWidth="20730" windowHeight="11160" tabRatio="945" xr2:uid="{00000000-000D-0000-FFFF-FFFF00000000}"/>
  </bookViews>
  <sheets>
    <sheet name="Introduction" sheetId="25" r:id="rId1"/>
    <sheet name="1. Required Start-Up Funds" sheetId="1" r:id="rId2"/>
    <sheet name="2.  Salary and Wage Detail" sheetId="28" r:id="rId3"/>
    <sheet name="2a. Salaries and Wages Summary" sheetId="6" r:id="rId4"/>
    <sheet name="3. Fixed Operating Expenses" sheetId="7" r:id="rId5"/>
    <sheet name="4.Cost of Goods-Svcs Sold" sheetId="31" r:id="rId6"/>
    <sheet name="4a.Prod 1-6 Unit Sales Forecast" sheetId="3" r:id="rId7"/>
    <sheet name="5.Prod 7-20 Unit Sales Forecast" sheetId="29" r:id="rId8"/>
    <sheet name="6. Cash Receipts-Disbursements" sheetId="14" r:id="rId9"/>
    <sheet name="7. Beginning Balance Sheet" sheetId="16" state="hidden" r:id="rId10"/>
    <sheet name="8. Income Statement" sheetId="9" r:id="rId11"/>
    <sheet name="9. Cash Flow Statement" sheetId="11" r:id="rId12"/>
    <sheet name="10. Balance Sheet" sheetId="12" r:id="rId13"/>
    <sheet name="11. Year End Summary" sheetId="13" r:id="rId14"/>
    <sheet name="12. Income Statement (2)" sheetId="18" r:id="rId15"/>
    <sheet name="13. Cash Flow Statement (2)" sheetId="19" r:id="rId16"/>
    <sheet name="14. Balance Sheet (2)" sheetId="20" r:id="rId17"/>
    <sheet name="15. Income Statement (3)" sheetId="21" r:id="rId18"/>
    <sheet name="16. Cash Flow Statement (3)" sheetId="22" r:id="rId19"/>
    <sheet name="17. Balance Sheet (3)" sheetId="23" r:id="rId20"/>
    <sheet name="18. Financial Ratios" sheetId="24" r:id="rId21"/>
    <sheet name="19. Breakeven Analysis" sheetId="17" r:id="rId22"/>
    <sheet name="20. Debt Amoritization Schedule" sheetId="8" r:id="rId23"/>
    <sheet name="21. Financial Diagnostics" sheetId="26" r:id="rId24"/>
    <sheet name="22. Cash Flow Graph" sheetId="27" r:id="rId25"/>
    <sheet name="Sheet2" sheetId="32" r:id="rId26"/>
    <sheet name="Sheet1" sheetId="33" r:id="rId27"/>
  </sheets>
  <definedNames>
    <definedName name="MinCash">'1. Required Start-Up Funds'!$I$34</definedName>
    <definedName name="mininv">'1. Required Start-Up Funds'!$I$35</definedName>
    <definedName name="mininv2">'1. Required Start-Up Funds'!$I$36</definedName>
    <definedName name="mininv3">'1. Required Start-Up Funds'!$I$37</definedName>
    <definedName name="MinRed">'1. Required Start-Up Funds'!$I$32</definedName>
    <definedName name="_xlnm.Print_Area" localSheetId="12">'10. Balance Sheet'!$A$1:$I$49</definedName>
    <definedName name="_xlnm.Print_Area" localSheetId="13">'11. Year End Summary'!$A$1:$N$79</definedName>
    <definedName name="_xlnm.Print_Area" localSheetId="14">'12. Income Statement (2)'!$A$1:$Q$76</definedName>
    <definedName name="_xlnm.Print_Area" localSheetId="16">'14. Balance Sheet (2)'!$A$1:$I$49</definedName>
    <definedName name="_xlnm.Print_Area" localSheetId="17">'15. Income Statement (3)'!$A$1:$Q$76</definedName>
    <definedName name="_xlnm.Print_Area" localSheetId="19">'17. Balance Sheet (3)'!$A$1:$I$49</definedName>
    <definedName name="_xlnm.Print_Area" localSheetId="10">'8. Income Statement'!$A$1:$Q$76</definedName>
    <definedName name="_xlnm.Print_Area" localSheetId="11">'9. Cash Flow Statement'!$A$1:$Q$39</definedName>
    <definedName name="_xlnm.Print_Area" localSheetId="0">Introduction!$A$1:$P$33</definedName>
    <definedName name="_xlnm.Print_Titles" localSheetId="12">'10. Balance Sheet'!$1:$4</definedName>
    <definedName name="_xlnm.Print_Titles" localSheetId="13">'11. Year End Summary'!$1:$6</definedName>
    <definedName name="_xlnm.Print_Titles" localSheetId="14">'12. Income Statement (2)'!$1:$6</definedName>
    <definedName name="_xlnm.Print_Titles" localSheetId="15">'13. Cash Flow Statement (2)'!$1:$6</definedName>
    <definedName name="_xlnm.Print_Titles" localSheetId="16">'14. Balance Sheet (2)'!$1:$4</definedName>
    <definedName name="_xlnm.Print_Titles" localSheetId="17">'15. Income Statement (3)'!$1:$6</definedName>
    <definedName name="_xlnm.Print_Titles" localSheetId="18">'16. Cash Flow Statement (3)'!$1:$6</definedName>
    <definedName name="_xlnm.Print_Titles" localSheetId="19">'17. Balance Sheet (3)'!$1:$6</definedName>
    <definedName name="_xlnm.Print_Titles" localSheetId="9">'7. Beginning Balance Sheet'!$1:$6</definedName>
    <definedName name="_xlnm.Print_Titles" localSheetId="10">'8. Income Statement'!$1:$6</definedName>
    <definedName name="_xlnm.Print_Titles" localSheetId="11">'9. Cash Flow Statement'!$1:$6</definedName>
    <definedName name="startingcash">'1. Required Start-Up Funds'!$E$28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R64" i="8" l="1"/>
  <c r="Q64" i="8"/>
  <c r="P64" i="8"/>
  <c r="O64" i="8"/>
  <c r="N64" i="8"/>
  <c r="M64" i="8"/>
  <c r="L64" i="8"/>
  <c r="K64" i="8"/>
  <c r="J64" i="8"/>
  <c r="I64" i="8"/>
  <c r="H64" i="8"/>
  <c r="G64" i="8"/>
  <c r="R63" i="8"/>
  <c r="Q63" i="8"/>
  <c r="P63" i="8"/>
  <c r="O63" i="8"/>
  <c r="N63" i="8"/>
  <c r="M63" i="8"/>
  <c r="L63" i="8"/>
  <c r="K63" i="8"/>
  <c r="J63" i="8"/>
  <c r="I63" i="8"/>
  <c r="H63" i="8"/>
  <c r="G63" i="8"/>
  <c r="R60" i="8"/>
  <c r="Q60" i="8"/>
  <c r="P60" i="8"/>
  <c r="O60" i="8"/>
  <c r="N60" i="8"/>
  <c r="M60" i="8"/>
  <c r="L60" i="8"/>
  <c r="K60" i="8"/>
  <c r="J60" i="8"/>
  <c r="I60" i="8"/>
  <c r="H60" i="8"/>
  <c r="G60" i="8"/>
  <c r="R59" i="8"/>
  <c r="Q59" i="8"/>
  <c r="P59" i="8"/>
  <c r="O59" i="8"/>
  <c r="N59" i="8"/>
  <c r="M59" i="8"/>
  <c r="L59" i="8"/>
  <c r="K59" i="8"/>
  <c r="J59" i="8"/>
  <c r="I59" i="8"/>
  <c r="H59" i="8"/>
  <c r="G59" i="8"/>
  <c r="R44" i="8"/>
  <c r="Q44" i="8"/>
  <c r="P44" i="8"/>
  <c r="O44" i="8"/>
  <c r="N44" i="8"/>
  <c r="M44" i="8"/>
  <c r="L44" i="8"/>
  <c r="K44" i="8"/>
  <c r="J44" i="8"/>
  <c r="I44" i="8"/>
  <c r="H44" i="8"/>
  <c r="G44" i="8"/>
  <c r="R43" i="8"/>
  <c r="Q43" i="8"/>
  <c r="P43" i="8"/>
  <c r="O43" i="8"/>
  <c r="N43" i="8"/>
  <c r="M43" i="8"/>
  <c r="L43" i="8"/>
  <c r="K43" i="8"/>
  <c r="J43" i="8"/>
  <c r="I43" i="8"/>
  <c r="H43" i="8"/>
  <c r="G43" i="8"/>
  <c r="R40" i="8"/>
  <c r="Q40" i="8"/>
  <c r="P40" i="8"/>
  <c r="O40" i="8"/>
  <c r="N40" i="8"/>
  <c r="M40" i="8"/>
  <c r="L40" i="8"/>
  <c r="K40" i="8"/>
  <c r="J40" i="8"/>
  <c r="I40" i="8"/>
  <c r="H40" i="8"/>
  <c r="G40" i="8"/>
  <c r="R39" i="8"/>
  <c r="Q39" i="8"/>
  <c r="P39" i="8"/>
  <c r="O39" i="8"/>
  <c r="N39" i="8"/>
  <c r="M39" i="8"/>
  <c r="L39" i="8"/>
  <c r="K39" i="8"/>
  <c r="J39" i="8"/>
  <c r="I39" i="8"/>
  <c r="H39" i="8"/>
  <c r="G39" i="8"/>
  <c r="R24" i="8"/>
  <c r="Q24" i="8"/>
  <c r="P24" i="8"/>
  <c r="O24" i="8"/>
  <c r="N24" i="8"/>
  <c r="M24" i="8"/>
  <c r="L24" i="8"/>
  <c r="K24" i="8"/>
  <c r="J24" i="8"/>
  <c r="I24" i="8"/>
  <c r="H24" i="8"/>
  <c r="G24" i="8"/>
  <c r="R23" i="8"/>
  <c r="Q23" i="8"/>
  <c r="P23" i="8"/>
  <c r="O23" i="8"/>
  <c r="N23" i="8"/>
  <c r="M23" i="8"/>
  <c r="L23" i="8"/>
  <c r="K23" i="8"/>
  <c r="J23" i="8"/>
  <c r="I23" i="8"/>
  <c r="H23" i="8"/>
  <c r="G23" i="8"/>
  <c r="R20" i="8"/>
  <c r="Q20" i="8"/>
  <c r="P20" i="8"/>
  <c r="O20" i="8"/>
  <c r="N20" i="8"/>
  <c r="M20" i="8"/>
  <c r="L20" i="8"/>
  <c r="K20" i="8"/>
  <c r="J20" i="8"/>
  <c r="I20" i="8"/>
  <c r="H20" i="8"/>
  <c r="G20" i="8"/>
  <c r="R19" i="8"/>
  <c r="Q19" i="8"/>
  <c r="P19" i="8"/>
  <c r="O19" i="8"/>
  <c r="N19" i="8"/>
  <c r="M19" i="8"/>
  <c r="L19" i="8"/>
  <c r="K19" i="8"/>
  <c r="J19" i="8"/>
  <c r="I19" i="8"/>
  <c r="H19" i="8"/>
  <c r="G19" i="8"/>
  <c r="I45" i="1"/>
  <c r="I46" i="1"/>
  <c r="K46" i="1"/>
  <c r="K50" i="31" l="1"/>
  <c r="F32" i="28" l="1"/>
  <c r="G32" i="28" s="1"/>
  <c r="H32" i="28" s="1"/>
  <c r="F31" i="28"/>
  <c r="G31" i="28" s="1"/>
  <c r="H31" i="28" s="1"/>
  <c r="F30" i="28"/>
  <c r="G30" i="28" s="1"/>
  <c r="H30" i="28" s="1"/>
  <c r="F29" i="28"/>
  <c r="G29" i="28" s="1"/>
  <c r="H29" i="28" s="1"/>
  <c r="F28" i="28"/>
  <c r="G28" i="28" s="1"/>
  <c r="H28" i="28" s="1"/>
  <c r="F27" i="28"/>
  <c r="G27" i="28" s="1"/>
  <c r="H27" i="28" s="1"/>
  <c r="F26" i="28"/>
  <c r="G26" i="28" s="1"/>
  <c r="H26" i="28" s="1"/>
  <c r="A160" i="28" l="1"/>
  <c r="B187" i="28"/>
  <c r="C187" i="28" s="1"/>
  <c r="D187" i="28" s="1"/>
  <c r="E187" i="28" s="1"/>
  <c r="F187" i="28" s="1"/>
  <c r="G187" i="28" s="1"/>
  <c r="H187" i="28" s="1"/>
  <c r="I187" i="28" s="1"/>
  <c r="J187" i="28" s="1"/>
  <c r="K187" i="28" s="1"/>
  <c r="L187" i="28" s="1"/>
  <c r="M187" i="28" s="1"/>
  <c r="A90" i="28"/>
  <c r="A91" i="28"/>
  <c r="A92" i="28"/>
  <c r="A93" i="28"/>
  <c r="A94" i="28"/>
  <c r="A95" i="28"/>
  <c r="A96" i="28"/>
  <c r="B96" i="28"/>
  <c r="B95" i="28"/>
  <c r="C95" i="28" s="1"/>
  <c r="D95" i="28" s="1"/>
  <c r="E95" i="28" s="1"/>
  <c r="F95" i="28" s="1"/>
  <c r="G95" i="28" s="1"/>
  <c r="H95" i="28" s="1"/>
  <c r="I95" i="28" s="1"/>
  <c r="J95" i="28" s="1"/>
  <c r="K95" i="28" s="1"/>
  <c r="L95" i="28" s="1"/>
  <c r="M95" i="28" s="1"/>
  <c r="B141" i="28" s="1"/>
  <c r="C141" i="28" s="1"/>
  <c r="D141" i="28" s="1"/>
  <c r="E141" i="28" s="1"/>
  <c r="F141" i="28" s="1"/>
  <c r="G141" i="28" s="1"/>
  <c r="H141" i="28" s="1"/>
  <c r="I141" i="28" s="1"/>
  <c r="J141" i="28" s="1"/>
  <c r="K141" i="28" s="1"/>
  <c r="L141" i="28" s="1"/>
  <c r="M141" i="28" s="1"/>
  <c r="B94" i="28"/>
  <c r="B93" i="28"/>
  <c r="B92" i="28"/>
  <c r="B91" i="28"/>
  <c r="B90" i="28"/>
  <c r="B89" i="28"/>
  <c r="B88" i="28"/>
  <c r="B84" i="28"/>
  <c r="C84" i="28" s="1"/>
  <c r="D84" i="28" s="1"/>
  <c r="E84" i="28" s="1"/>
  <c r="F84" i="28" s="1"/>
  <c r="G84" i="28" s="1"/>
  <c r="H84" i="28" s="1"/>
  <c r="I84" i="28" s="1"/>
  <c r="J84" i="28" s="1"/>
  <c r="K84" i="28" s="1"/>
  <c r="L84" i="28" s="1"/>
  <c r="M84" i="28" s="1"/>
  <c r="B130" i="28" s="1"/>
  <c r="C130" i="28" s="1"/>
  <c r="D130" i="28" s="1"/>
  <c r="E130" i="28" s="1"/>
  <c r="F130" i="28" s="1"/>
  <c r="G130" i="28" s="1"/>
  <c r="H130" i="28" s="1"/>
  <c r="I130" i="28" s="1"/>
  <c r="J130" i="28" s="1"/>
  <c r="K130" i="28" s="1"/>
  <c r="L130" i="28" s="1"/>
  <c r="M130" i="28" s="1"/>
  <c r="B176" i="28" s="1"/>
  <c r="C176" i="28" s="1"/>
  <c r="D176" i="28" s="1"/>
  <c r="E176" i="28" s="1"/>
  <c r="F176" i="28" s="1"/>
  <c r="G176" i="28" s="1"/>
  <c r="H176" i="28" s="1"/>
  <c r="I176" i="28" s="1"/>
  <c r="J176" i="28" s="1"/>
  <c r="K176" i="28" s="1"/>
  <c r="L176" i="28" s="1"/>
  <c r="M176" i="28" s="1"/>
  <c r="B83" i="28"/>
  <c r="C83" i="28" s="1"/>
  <c r="D83" i="28" s="1"/>
  <c r="E83" i="28" s="1"/>
  <c r="F83" i="28" s="1"/>
  <c r="G83" i="28" s="1"/>
  <c r="H83" i="28" s="1"/>
  <c r="I83" i="28" s="1"/>
  <c r="J83" i="28" s="1"/>
  <c r="K83" i="28" s="1"/>
  <c r="L83" i="28" s="1"/>
  <c r="M83" i="28" s="1"/>
  <c r="B129" i="28" s="1"/>
  <c r="C129" i="28" s="1"/>
  <c r="D129" i="28" s="1"/>
  <c r="E129" i="28" s="1"/>
  <c r="F129" i="28" s="1"/>
  <c r="G129" i="28" s="1"/>
  <c r="H129" i="28" s="1"/>
  <c r="I129" i="28" s="1"/>
  <c r="J129" i="28" s="1"/>
  <c r="K129" i="28" s="1"/>
  <c r="L129" i="28" s="1"/>
  <c r="M129" i="28" s="1"/>
  <c r="B175" i="28" s="1"/>
  <c r="C175" i="28" s="1"/>
  <c r="D175" i="28" s="1"/>
  <c r="E175" i="28" s="1"/>
  <c r="F175" i="28" s="1"/>
  <c r="G175" i="28" s="1"/>
  <c r="H175" i="28" s="1"/>
  <c r="I175" i="28" s="1"/>
  <c r="J175" i="28" s="1"/>
  <c r="K175" i="28" s="1"/>
  <c r="L175" i="28" s="1"/>
  <c r="M175" i="28" s="1"/>
  <c r="B82" i="28"/>
  <c r="C82" i="28" s="1"/>
  <c r="D82" i="28" s="1"/>
  <c r="E82" i="28" s="1"/>
  <c r="F82" i="28" s="1"/>
  <c r="G82" i="28" s="1"/>
  <c r="H82" i="28" s="1"/>
  <c r="I82" i="28" s="1"/>
  <c r="J82" i="28" s="1"/>
  <c r="K82" i="28" s="1"/>
  <c r="L82" i="28" s="1"/>
  <c r="M82" i="28" s="1"/>
  <c r="B128" i="28" s="1"/>
  <c r="C128" i="28" s="1"/>
  <c r="D128" i="28" s="1"/>
  <c r="E128" i="28" s="1"/>
  <c r="F128" i="28" s="1"/>
  <c r="G128" i="28" s="1"/>
  <c r="H128" i="28" s="1"/>
  <c r="I128" i="28" s="1"/>
  <c r="J128" i="28" s="1"/>
  <c r="K128" i="28" s="1"/>
  <c r="L128" i="28" s="1"/>
  <c r="M128" i="28" s="1"/>
  <c r="B174" i="28" s="1"/>
  <c r="C174" i="28" s="1"/>
  <c r="D174" i="28" s="1"/>
  <c r="E174" i="28" s="1"/>
  <c r="F174" i="28" s="1"/>
  <c r="G174" i="28" s="1"/>
  <c r="H174" i="28" s="1"/>
  <c r="I174" i="28" s="1"/>
  <c r="J174" i="28" s="1"/>
  <c r="K174" i="28" s="1"/>
  <c r="L174" i="28" s="1"/>
  <c r="M174" i="28" s="1"/>
  <c r="B81" i="28"/>
  <c r="C81" i="28" s="1"/>
  <c r="D81" i="28" s="1"/>
  <c r="E81" i="28" s="1"/>
  <c r="F81" i="28" s="1"/>
  <c r="G81" i="28" s="1"/>
  <c r="H81" i="28" s="1"/>
  <c r="I81" i="28" s="1"/>
  <c r="J81" i="28" s="1"/>
  <c r="K81" i="28" s="1"/>
  <c r="L81" i="28" s="1"/>
  <c r="M81" i="28" s="1"/>
  <c r="B127" i="28" s="1"/>
  <c r="C127" i="28" s="1"/>
  <c r="D127" i="28" s="1"/>
  <c r="E127" i="28" s="1"/>
  <c r="F127" i="28" s="1"/>
  <c r="G127" i="28" s="1"/>
  <c r="H127" i="28" s="1"/>
  <c r="I127" i="28" s="1"/>
  <c r="J127" i="28" s="1"/>
  <c r="K127" i="28" s="1"/>
  <c r="L127" i="28" s="1"/>
  <c r="M127" i="28" s="1"/>
  <c r="B173" i="28" s="1"/>
  <c r="C173" i="28" s="1"/>
  <c r="D173" i="28" s="1"/>
  <c r="E173" i="28" s="1"/>
  <c r="F173" i="28" s="1"/>
  <c r="G173" i="28" s="1"/>
  <c r="H173" i="28" s="1"/>
  <c r="I173" i="28" s="1"/>
  <c r="J173" i="28" s="1"/>
  <c r="K173" i="28" s="1"/>
  <c r="L173" i="28" s="1"/>
  <c r="M173" i="28" s="1"/>
  <c r="B80" i="28"/>
  <c r="C80" i="28" s="1"/>
  <c r="D80" i="28" s="1"/>
  <c r="E80" i="28" s="1"/>
  <c r="F80" i="28" s="1"/>
  <c r="G80" i="28" s="1"/>
  <c r="H80" i="28" s="1"/>
  <c r="I80" i="28" s="1"/>
  <c r="J80" i="28" s="1"/>
  <c r="K80" i="28" s="1"/>
  <c r="L80" i="28" s="1"/>
  <c r="M80" i="28" s="1"/>
  <c r="B126" i="28" s="1"/>
  <c r="C126" i="28" s="1"/>
  <c r="D126" i="28" s="1"/>
  <c r="E126" i="28" s="1"/>
  <c r="F126" i="28" s="1"/>
  <c r="G126" i="28" s="1"/>
  <c r="H126" i="28" s="1"/>
  <c r="I126" i="28" s="1"/>
  <c r="J126" i="28" s="1"/>
  <c r="K126" i="28" s="1"/>
  <c r="L126" i="28" s="1"/>
  <c r="M126" i="28" s="1"/>
  <c r="B172" i="28" s="1"/>
  <c r="C172" i="28" s="1"/>
  <c r="D172" i="28" s="1"/>
  <c r="E172" i="28" s="1"/>
  <c r="F172" i="28" s="1"/>
  <c r="G172" i="28" s="1"/>
  <c r="H172" i="28" s="1"/>
  <c r="I172" i="28" s="1"/>
  <c r="J172" i="28" s="1"/>
  <c r="K172" i="28" s="1"/>
  <c r="L172" i="28" s="1"/>
  <c r="M172" i="28" s="1"/>
  <c r="B79" i="28"/>
  <c r="C79" i="28" s="1"/>
  <c r="D79" i="28" s="1"/>
  <c r="E79" i="28" s="1"/>
  <c r="F79" i="28" s="1"/>
  <c r="G79" i="28" s="1"/>
  <c r="H79" i="28" s="1"/>
  <c r="I79" i="28" s="1"/>
  <c r="J79" i="28" s="1"/>
  <c r="K79" i="28" s="1"/>
  <c r="L79" i="28" s="1"/>
  <c r="M79" i="28" s="1"/>
  <c r="B125" i="28" s="1"/>
  <c r="C125" i="28" s="1"/>
  <c r="D125" i="28" s="1"/>
  <c r="E125" i="28" s="1"/>
  <c r="F125" i="28" s="1"/>
  <c r="G125" i="28" s="1"/>
  <c r="H125" i="28" s="1"/>
  <c r="I125" i="28" s="1"/>
  <c r="J125" i="28" s="1"/>
  <c r="K125" i="28" s="1"/>
  <c r="L125" i="28" s="1"/>
  <c r="M125" i="28" s="1"/>
  <c r="B171" i="28" s="1"/>
  <c r="C171" i="28" s="1"/>
  <c r="D171" i="28" s="1"/>
  <c r="E171" i="28" s="1"/>
  <c r="F171" i="28" s="1"/>
  <c r="G171" i="28" s="1"/>
  <c r="H171" i="28" s="1"/>
  <c r="I171" i="28" s="1"/>
  <c r="J171" i="28" s="1"/>
  <c r="K171" i="28" s="1"/>
  <c r="L171" i="28" s="1"/>
  <c r="M171" i="28" s="1"/>
  <c r="B78" i="28"/>
  <c r="C78" i="28" s="1"/>
  <c r="D78" i="28" s="1"/>
  <c r="E78" i="28" s="1"/>
  <c r="F78" i="28" s="1"/>
  <c r="G78" i="28" s="1"/>
  <c r="H78" i="28" s="1"/>
  <c r="I78" i="28" s="1"/>
  <c r="J78" i="28" s="1"/>
  <c r="K78" i="28" s="1"/>
  <c r="L78" i="28" s="1"/>
  <c r="M78" i="28" s="1"/>
  <c r="B124" i="28" s="1"/>
  <c r="C124" i="28" s="1"/>
  <c r="D124" i="28" s="1"/>
  <c r="E124" i="28" s="1"/>
  <c r="F124" i="28" s="1"/>
  <c r="G124" i="28" s="1"/>
  <c r="H124" i="28" s="1"/>
  <c r="I124" i="28" s="1"/>
  <c r="J124" i="28" s="1"/>
  <c r="K124" i="28" s="1"/>
  <c r="L124" i="28" s="1"/>
  <c r="M124" i="28" s="1"/>
  <c r="B170" i="28" s="1"/>
  <c r="C170" i="28" s="1"/>
  <c r="D170" i="28" s="1"/>
  <c r="E170" i="28" s="1"/>
  <c r="F170" i="28" s="1"/>
  <c r="G170" i="28" s="1"/>
  <c r="H170" i="28" s="1"/>
  <c r="I170" i="28" s="1"/>
  <c r="J170" i="28" s="1"/>
  <c r="K170" i="28" s="1"/>
  <c r="L170" i="28" s="1"/>
  <c r="M170" i="28" s="1"/>
  <c r="B77" i="28"/>
  <c r="C77" i="28" s="1"/>
  <c r="D77" i="28" s="1"/>
  <c r="E77" i="28" s="1"/>
  <c r="F77" i="28" s="1"/>
  <c r="G77" i="28" s="1"/>
  <c r="H77" i="28" s="1"/>
  <c r="I77" i="28" s="1"/>
  <c r="J77" i="28" s="1"/>
  <c r="K77" i="28" s="1"/>
  <c r="L77" i="28" s="1"/>
  <c r="M77" i="28" s="1"/>
  <c r="B123" i="28" s="1"/>
  <c r="C123" i="28" s="1"/>
  <c r="D123" i="28" s="1"/>
  <c r="E123" i="28" s="1"/>
  <c r="F123" i="28" s="1"/>
  <c r="G123" i="28" s="1"/>
  <c r="H123" i="28" s="1"/>
  <c r="I123" i="28" s="1"/>
  <c r="J123" i="28" s="1"/>
  <c r="K123" i="28" s="1"/>
  <c r="L123" i="28" s="1"/>
  <c r="M123" i="28" s="1"/>
  <c r="B169" i="28" s="1"/>
  <c r="C169" i="28" s="1"/>
  <c r="D169" i="28" s="1"/>
  <c r="E169" i="28" s="1"/>
  <c r="F169" i="28" s="1"/>
  <c r="G169" i="28" s="1"/>
  <c r="H169" i="28" s="1"/>
  <c r="I169" i="28" s="1"/>
  <c r="J169" i="28" s="1"/>
  <c r="K169" i="28" s="1"/>
  <c r="L169" i="28" s="1"/>
  <c r="M169" i="28" s="1"/>
  <c r="B76" i="28"/>
  <c r="C76" i="28" s="1"/>
  <c r="D76" i="28" s="1"/>
  <c r="E76" i="28" s="1"/>
  <c r="F76" i="28" s="1"/>
  <c r="G76" i="28" s="1"/>
  <c r="H76" i="28" s="1"/>
  <c r="I76" i="28" s="1"/>
  <c r="J76" i="28" s="1"/>
  <c r="K76" i="28" s="1"/>
  <c r="L76" i="28" s="1"/>
  <c r="M76" i="28" s="1"/>
  <c r="B122" i="28" s="1"/>
  <c r="C122" i="28" s="1"/>
  <c r="D122" i="28" s="1"/>
  <c r="E122" i="28" s="1"/>
  <c r="F122" i="28" s="1"/>
  <c r="G122" i="28" s="1"/>
  <c r="H122" i="28" s="1"/>
  <c r="I122" i="28" s="1"/>
  <c r="J122" i="28" s="1"/>
  <c r="K122" i="28" s="1"/>
  <c r="L122" i="28" s="1"/>
  <c r="M122" i="28" s="1"/>
  <c r="B168" i="28" s="1"/>
  <c r="C168" i="28" s="1"/>
  <c r="D168" i="28" s="1"/>
  <c r="E168" i="28" s="1"/>
  <c r="F168" i="28" s="1"/>
  <c r="G168" i="28" s="1"/>
  <c r="H168" i="28" s="1"/>
  <c r="I168" i="28" s="1"/>
  <c r="J168" i="28" s="1"/>
  <c r="K168" i="28" s="1"/>
  <c r="L168" i="28" s="1"/>
  <c r="M168" i="28" s="1"/>
  <c r="B75" i="28"/>
  <c r="C75" i="28" s="1"/>
  <c r="D75" i="28" s="1"/>
  <c r="E75" i="28" s="1"/>
  <c r="F75" i="28" s="1"/>
  <c r="G75" i="28" s="1"/>
  <c r="H75" i="28" s="1"/>
  <c r="I75" i="28" s="1"/>
  <c r="J75" i="28" s="1"/>
  <c r="K75" i="28" s="1"/>
  <c r="L75" i="28" s="1"/>
  <c r="M75" i="28" s="1"/>
  <c r="B121" i="28" s="1"/>
  <c r="C121" i="28" s="1"/>
  <c r="D121" i="28" s="1"/>
  <c r="E121" i="28" s="1"/>
  <c r="F121" i="28" s="1"/>
  <c r="G121" i="28" s="1"/>
  <c r="H121" i="28" s="1"/>
  <c r="I121" i="28" s="1"/>
  <c r="J121" i="28" s="1"/>
  <c r="K121" i="28" s="1"/>
  <c r="L121" i="28" s="1"/>
  <c r="M121" i="28" s="1"/>
  <c r="B167" i="28" s="1"/>
  <c r="C167" i="28" s="1"/>
  <c r="D167" i="28" s="1"/>
  <c r="E167" i="28" s="1"/>
  <c r="F167" i="28" s="1"/>
  <c r="G167" i="28" s="1"/>
  <c r="H167" i="28" s="1"/>
  <c r="I167" i="28" s="1"/>
  <c r="J167" i="28" s="1"/>
  <c r="K167" i="28" s="1"/>
  <c r="L167" i="28" s="1"/>
  <c r="M167" i="28" s="1"/>
  <c r="B74" i="28"/>
  <c r="C74" i="28" s="1"/>
  <c r="D74" i="28" s="1"/>
  <c r="E74" i="28" s="1"/>
  <c r="F74" i="28" s="1"/>
  <c r="G74" i="28" s="1"/>
  <c r="H74" i="28" s="1"/>
  <c r="I74" i="28" s="1"/>
  <c r="J74" i="28" s="1"/>
  <c r="K74" i="28" s="1"/>
  <c r="L74" i="28" s="1"/>
  <c r="M74" i="28" s="1"/>
  <c r="B120" i="28" s="1"/>
  <c r="C120" i="28" s="1"/>
  <c r="D120" i="28" s="1"/>
  <c r="E120" i="28" s="1"/>
  <c r="F120" i="28" s="1"/>
  <c r="G120" i="28" s="1"/>
  <c r="H120" i="28" s="1"/>
  <c r="I120" i="28" s="1"/>
  <c r="J120" i="28" s="1"/>
  <c r="K120" i="28" s="1"/>
  <c r="L120" i="28" s="1"/>
  <c r="M120" i="28" s="1"/>
  <c r="B166" i="28" s="1"/>
  <c r="C166" i="28" s="1"/>
  <c r="D166" i="28" s="1"/>
  <c r="E166" i="28" s="1"/>
  <c r="F166" i="28" s="1"/>
  <c r="G166" i="28" s="1"/>
  <c r="H166" i="28" s="1"/>
  <c r="I166" i="28" s="1"/>
  <c r="J166" i="28" s="1"/>
  <c r="K166" i="28" s="1"/>
  <c r="L166" i="28" s="1"/>
  <c r="M166" i="28" s="1"/>
  <c r="B73" i="28"/>
  <c r="C73" i="28" s="1"/>
  <c r="D73" i="28" s="1"/>
  <c r="E73" i="28" s="1"/>
  <c r="F73" i="28" s="1"/>
  <c r="G73" i="28" s="1"/>
  <c r="H73" i="28" s="1"/>
  <c r="I73" i="28" s="1"/>
  <c r="J73" i="28" s="1"/>
  <c r="K73" i="28" s="1"/>
  <c r="L73" i="28" s="1"/>
  <c r="M73" i="28" s="1"/>
  <c r="B119" i="28" s="1"/>
  <c r="C119" i="28" s="1"/>
  <c r="D119" i="28" s="1"/>
  <c r="E119" i="28" s="1"/>
  <c r="F119" i="28" s="1"/>
  <c r="G119" i="28" s="1"/>
  <c r="H119" i="28" s="1"/>
  <c r="I119" i="28" s="1"/>
  <c r="J119" i="28" s="1"/>
  <c r="K119" i="28" s="1"/>
  <c r="L119" i="28" s="1"/>
  <c r="M119" i="28" s="1"/>
  <c r="B165" i="28" s="1"/>
  <c r="C165" i="28" s="1"/>
  <c r="D165" i="28" s="1"/>
  <c r="E165" i="28" s="1"/>
  <c r="F165" i="28" s="1"/>
  <c r="G165" i="28" s="1"/>
  <c r="H165" i="28" s="1"/>
  <c r="I165" i="28" s="1"/>
  <c r="J165" i="28" s="1"/>
  <c r="K165" i="28" s="1"/>
  <c r="L165" i="28" s="1"/>
  <c r="M165" i="28" s="1"/>
  <c r="B72" i="28"/>
  <c r="C72" i="28" s="1"/>
  <c r="D72" i="28" s="1"/>
  <c r="E72" i="28" s="1"/>
  <c r="F72" i="28" s="1"/>
  <c r="G72" i="28" s="1"/>
  <c r="H72" i="28" s="1"/>
  <c r="I72" i="28" s="1"/>
  <c r="J72" i="28" s="1"/>
  <c r="K72" i="28" s="1"/>
  <c r="L72" i="28" s="1"/>
  <c r="M72" i="28" s="1"/>
  <c r="B118" i="28" s="1"/>
  <c r="C118" i="28" s="1"/>
  <c r="D118" i="28" s="1"/>
  <c r="E118" i="28" s="1"/>
  <c r="F118" i="28" s="1"/>
  <c r="G118" i="28" s="1"/>
  <c r="H118" i="28" s="1"/>
  <c r="I118" i="28" s="1"/>
  <c r="J118" i="28" s="1"/>
  <c r="K118" i="28" s="1"/>
  <c r="L118" i="28" s="1"/>
  <c r="M118" i="28" s="1"/>
  <c r="B164" i="28" s="1"/>
  <c r="C164" i="28" s="1"/>
  <c r="D164" i="28" s="1"/>
  <c r="E164" i="28" s="1"/>
  <c r="F164" i="28" s="1"/>
  <c r="G164" i="28" s="1"/>
  <c r="H164" i="28" s="1"/>
  <c r="I164" i="28" s="1"/>
  <c r="J164" i="28" s="1"/>
  <c r="K164" i="28" s="1"/>
  <c r="L164" i="28" s="1"/>
  <c r="M164" i="28" s="1"/>
  <c r="B71" i="28"/>
  <c r="B65" i="28"/>
  <c r="C65" i="28" s="1"/>
  <c r="D65" i="28" s="1"/>
  <c r="E65" i="28" s="1"/>
  <c r="F65" i="28" s="1"/>
  <c r="G65" i="28" s="1"/>
  <c r="H65" i="28" s="1"/>
  <c r="I65" i="28" s="1"/>
  <c r="J65" i="28" s="1"/>
  <c r="K65" i="28" s="1"/>
  <c r="L65" i="28" s="1"/>
  <c r="M65" i="28" s="1"/>
  <c r="B111" i="28" s="1"/>
  <c r="C111" i="28" s="1"/>
  <c r="D111" i="28" s="1"/>
  <c r="E111" i="28" s="1"/>
  <c r="F111" i="28" s="1"/>
  <c r="G111" i="28" s="1"/>
  <c r="H111" i="28" s="1"/>
  <c r="I111" i="28" s="1"/>
  <c r="J111" i="28" s="1"/>
  <c r="K111" i="28" s="1"/>
  <c r="L111" i="28" s="1"/>
  <c r="M111" i="28" s="1"/>
  <c r="B157" i="28" s="1"/>
  <c r="C157" i="28" s="1"/>
  <c r="D157" i="28" s="1"/>
  <c r="E157" i="28" s="1"/>
  <c r="F157" i="28" s="1"/>
  <c r="G157" i="28" s="1"/>
  <c r="H157" i="28" s="1"/>
  <c r="I157" i="28" s="1"/>
  <c r="J157" i="28" s="1"/>
  <c r="K157" i="28" s="1"/>
  <c r="L157" i="28" s="1"/>
  <c r="M157" i="28" s="1"/>
  <c r="B64" i="28"/>
  <c r="C64" i="28" s="1"/>
  <c r="D64" i="28" s="1"/>
  <c r="E64" i="28" s="1"/>
  <c r="F64" i="28" s="1"/>
  <c r="G64" i="28" s="1"/>
  <c r="H64" i="28" s="1"/>
  <c r="I64" i="28" s="1"/>
  <c r="J64" i="28" s="1"/>
  <c r="K64" i="28" s="1"/>
  <c r="L64" i="28" s="1"/>
  <c r="M64" i="28" s="1"/>
  <c r="B110" i="28" s="1"/>
  <c r="C110" i="28" s="1"/>
  <c r="D110" i="28" s="1"/>
  <c r="E110" i="28" s="1"/>
  <c r="F110" i="28" s="1"/>
  <c r="G110" i="28" s="1"/>
  <c r="H110" i="28" s="1"/>
  <c r="I110" i="28" s="1"/>
  <c r="J110" i="28" s="1"/>
  <c r="K110" i="28" s="1"/>
  <c r="L110" i="28" s="1"/>
  <c r="M110" i="28" s="1"/>
  <c r="B156" i="28" s="1"/>
  <c r="C156" i="28" s="1"/>
  <c r="D156" i="28" s="1"/>
  <c r="E156" i="28" s="1"/>
  <c r="F156" i="28" s="1"/>
  <c r="G156" i="28" s="1"/>
  <c r="H156" i="28" s="1"/>
  <c r="I156" i="28" s="1"/>
  <c r="J156" i="28" s="1"/>
  <c r="K156" i="28" s="1"/>
  <c r="L156" i="28" s="1"/>
  <c r="M156" i="28" s="1"/>
  <c r="B63" i="28"/>
  <c r="C63" i="28" s="1"/>
  <c r="D63" i="28" s="1"/>
  <c r="E63" i="28" s="1"/>
  <c r="F63" i="28" s="1"/>
  <c r="G63" i="28" s="1"/>
  <c r="H63" i="28" s="1"/>
  <c r="I63" i="28" s="1"/>
  <c r="J63" i="28" s="1"/>
  <c r="K63" i="28" s="1"/>
  <c r="L63" i="28" s="1"/>
  <c r="M63" i="28" s="1"/>
  <c r="B109" i="28" s="1"/>
  <c r="C109" i="28" s="1"/>
  <c r="D109" i="28" s="1"/>
  <c r="E109" i="28" s="1"/>
  <c r="F109" i="28" s="1"/>
  <c r="G109" i="28" s="1"/>
  <c r="H109" i="28" s="1"/>
  <c r="I109" i="28" s="1"/>
  <c r="J109" i="28" s="1"/>
  <c r="K109" i="28" s="1"/>
  <c r="L109" i="28" s="1"/>
  <c r="M109" i="28" s="1"/>
  <c r="B155" i="28" s="1"/>
  <c r="C155" i="28" s="1"/>
  <c r="D155" i="28" s="1"/>
  <c r="E155" i="28" s="1"/>
  <c r="F155" i="28" s="1"/>
  <c r="G155" i="28" s="1"/>
  <c r="H155" i="28" s="1"/>
  <c r="I155" i="28" s="1"/>
  <c r="J155" i="28" s="1"/>
  <c r="K155" i="28" s="1"/>
  <c r="L155" i="28" s="1"/>
  <c r="M155" i="28" s="1"/>
  <c r="B62" i="28"/>
  <c r="C62" i="28" s="1"/>
  <c r="D62" i="28" s="1"/>
  <c r="E62" i="28" s="1"/>
  <c r="F62" i="28" s="1"/>
  <c r="G62" i="28" s="1"/>
  <c r="H62" i="28" s="1"/>
  <c r="I62" i="28" s="1"/>
  <c r="J62" i="28" s="1"/>
  <c r="K62" i="28" s="1"/>
  <c r="L62" i="28" s="1"/>
  <c r="M62" i="28" s="1"/>
  <c r="B108" i="28" s="1"/>
  <c r="C108" i="28" s="1"/>
  <c r="D108" i="28" s="1"/>
  <c r="E108" i="28" s="1"/>
  <c r="F108" i="28" s="1"/>
  <c r="G108" i="28" s="1"/>
  <c r="H108" i="28" s="1"/>
  <c r="I108" i="28" s="1"/>
  <c r="J108" i="28" s="1"/>
  <c r="K108" i="28" s="1"/>
  <c r="L108" i="28" s="1"/>
  <c r="M108" i="28" s="1"/>
  <c r="B154" i="28" s="1"/>
  <c r="C154" i="28" s="1"/>
  <c r="D154" i="28" s="1"/>
  <c r="E154" i="28" s="1"/>
  <c r="F154" i="28" s="1"/>
  <c r="G154" i="28" s="1"/>
  <c r="H154" i="28" s="1"/>
  <c r="I154" i="28" s="1"/>
  <c r="J154" i="28" s="1"/>
  <c r="K154" i="28" s="1"/>
  <c r="L154" i="28" s="1"/>
  <c r="M154" i="28" s="1"/>
  <c r="B61" i="28"/>
  <c r="C61" i="28" s="1"/>
  <c r="D61" i="28" s="1"/>
  <c r="E61" i="28" s="1"/>
  <c r="F61" i="28" s="1"/>
  <c r="G61" i="28" s="1"/>
  <c r="H61" i="28" s="1"/>
  <c r="I61" i="28" s="1"/>
  <c r="J61" i="28" s="1"/>
  <c r="K61" i="28" s="1"/>
  <c r="L61" i="28" s="1"/>
  <c r="M61" i="28" s="1"/>
  <c r="B107" i="28" s="1"/>
  <c r="C107" i="28" s="1"/>
  <c r="D107" i="28" s="1"/>
  <c r="E107" i="28" s="1"/>
  <c r="F107" i="28" s="1"/>
  <c r="G107" i="28" s="1"/>
  <c r="H107" i="28" s="1"/>
  <c r="I107" i="28" s="1"/>
  <c r="J107" i="28" s="1"/>
  <c r="K107" i="28" s="1"/>
  <c r="L107" i="28" s="1"/>
  <c r="M107" i="28" s="1"/>
  <c r="B153" i="28" s="1"/>
  <c r="C153" i="28" s="1"/>
  <c r="D153" i="28" s="1"/>
  <c r="E153" i="28" s="1"/>
  <c r="F153" i="28" s="1"/>
  <c r="G153" i="28" s="1"/>
  <c r="H153" i="28" s="1"/>
  <c r="I153" i="28" s="1"/>
  <c r="J153" i="28" s="1"/>
  <c r="K153" i="28" s="1"/>
  <c r="L153" i="28" s="1"/>
  <c r="M153" i="28" s="1"/>
  <c r="B60" i="28"/>
  <c r="C60" i="28" s="1"/>
  <c r="D60" i="28" s="1"/>
  <c r="E60" i="28" s="1"/>
  <c r="F60" i="28" s="1"/>
  <c r="G60" i="28" s="1"/>
  <c r="H60" i="28" s="1"/>
  <c r="I60" i="28" s="1"/>
  <c r="J60" i="28" s="1"/>
  <c r="K60" i="28" s="1"/>
  <c r="L60" i="28" s="1"/>
  <c r="M60" i="28" s="1"/>
  <c r="B106" i="28" s="1"/>
  <c r="C106" i="28" s="1"/>
  <c r="D106" i="28" s="1"/>
  <c r="E106" i="28" s="1"/>
  <c r="F106" i="28" s="1"/>
  <c r="G106" i="28" s="1"/>
  <c r="H106" i="28" s="1"/>
  <c r="I106" i="28" s="1"/>
  <c r="J106" i="28" s="1"/>
  <c r="K106" i="28" s="1"/>
  <c r="L106" i="28" s="1"/>
  <c r="M106" i="28" s="1"/>
  <c r="B152" i="28" s="1"/>
  <c r="C152" i="28" s="1"/>
  <c r="D152" i="28" s="1"/>
  <c r="E152" i="28" s="1"/>
  <c r="F152" i="28" s="1"/>
  <c r="G152" i="28" s="1"/>
  <c r="H152" i="28" s="1"/>
  <c r="I152" i="28" s="1"/>
  <c r="J152" i="28" s="1"/>
  <c r="K152" i="28" s="1"/>
  <c r="L152" i="28" s="1"/>
  <c r="M152" i="28" s="1"/>
  <c r="B59" i="28"/>
  <c r="C59" i="28" s="1"/>
  <c r="D59" i="28" s="1"/>
  <c r="E59" i="28" s="1"/>
  <c r="F59" i="28" s="1"/>
  <c r="G59" i="28" s="1"/>
  <c r="H59" i="28" s="1"/>
  <c r="I59" i="28" s="1"/>
  <c r="J59" i="28" s="1"/>
  <c r="K59" i="28" s="1"/>
  <c r="L59" i="28" s="1"/>
  <c r="M59" i="28" s="1"/>
  <c r="B105" i="28" s="1"/>
  <c r="C105" i="28" s="1"/>
  <c r="D105" i="28" s="1"/>
  <c r="E105" i="28" s="1"/>
  <c r="F105" i="28" s="1"/>
  <c r="G105" i="28" s="1"/>
  <c r="H105" i="28" s="1"/>
  <c r="I105" i="28" s="1"/>
  <c r="J105" i="28" s="1"/>
  <c r="K105" i="28" s="1"/>
  <c r="L105" i="28" s="1"/>
  <c r="M105" i="28" s="1"/>
  <c r="B151" i="28" s="1"/>
  <c r="C151" i="28" s="1"/>
  <c r="D151" i="28" s="1"/>
  <c r="E151" i="28" s="1"/>
  <c r="F151" i="28" s="1"/>
  <c r="G151" i="28" s="1"/>
  <c r="H151" i="28" s="1"/>
  <c r="I151" i="28" s="1"/>
  <c r="J151" i="28" s="1"/>
  <c r="K151" i="28" s="1"/>
  <c r="L151" i="28" s="1"/>
  <c r="M151" i="28" s="1"/>
  <c r="B58" i="28"/>
  <c r="C58" i="28" s="1"/>
  <c r="D58" i="28" s="1"/>
  <c r="E58" i="28" s="1"/>
  <c r="F58" i="28" s="1"/>
  <c r="G58" i="28" s="1"/>
  <c r="H58" i="28" s="1"/>
  <c r="I58" i="28" s="1"/>
  <c r="J58" i="28" s="1"/>
  <c r="K58" i="28" s="1"/>
  <c r="L58" i="28" s="1"/>
  <c r="M58" i="28" s="1"/>
  <c r="B104" i="28" s="1"/>
  <c r="C104" i="28" s="1"/>
  <c r="D104" i="28" s="1"/>
  <c r="E104" i="28" s="1"/>
  <c r="F104" i="28" s="1"/>
  <c r="G104" i="28" s="1"/>
  <c r="H104" i="28" s="1"/>
  <c r="I104" i="28" s="1"/>
  <c r="J104" i="28" s="1"/>
  <c r="K104" i="28" s="1"/>
  <c r="L104" i="28" s="1"/>
  <c r="M104" i="28" s="1"/>
  <c r="B150" i="28" s="1"/>
  <c r="C150" i="28" s="1"/>
  <c r="D150" i="28" s="1"/>
  <c r="E150" i="28" s="1"/>
  <c r="F150" i="28" s="1"/>
  <c r="G150" i="28" s="1"/>
  <c r="H150" i="28" s="1"/>
  <c r="I150" i="28" s="1"/>
  <c r="J150" i="28" s="1"/>
  <c r="K150" i="28" s="1"/>
  <c r="L150" i="28" s="1"/>
  <c r="M150" i="28" s="1"/>
  <c r="B70" i="28"/>
  <c r="C71" i="28" l="1"/>
  <c r="D71" i="28" s="1"/>
  <c r="E71" i="28" s="1"/>
  <c r="F71" i="28" s="1"/>
  <c r="G71" i="28" s="1"/>
  <c r="H71" i="28" s="1"/>
  <c r="I71" i="28" s="1"/>
  <c r="J71" i="28" s="1"/>
  <c r="K71" i="28" s="1"/>
  <c r="L71" i="28" s="1"/>
  <c r="M71" i="28" s="1"/>
  <c r="B117" i="28" s="1"/>
  <c r="C117" i="28" s="1"/>
  <c r="D117" i="28" s="1"/>
  <c r="E117" i="28" s="1"/>
  <c r="F117" i="28" s="1"/>
  <c r="G117" i="28" s="1"/>
  <c r="H117" i="28" s="1"/>
  <c r="I117" i="28" s="1"/>
  <c r="J117" i="28" s="1"/>
  <c r="K117" i="28" s="1"/>
  <c r="L117" i="28" s="1"/>
  <c r="M117" i="28" s="1"/>
  <c r="B163" i="28" s="1"/>
  <c r="C163" i="28" s="1"/>
  <c r="D163" i="28" s="1"/>
  <c r="E163" i="28" s="1"/>
  <c r="F163" i="28" s="1"/>
  <c r="G163" i="28" s="1"/>
  <c r="H163" i="28" s="1"/>
  <c r="I163" i="28" s="1"/>
  <c r="J163" i="28" s="1"/>
  <c r="K163" i="28" s="1"/>
  <c r="L163" i="28" s="1"/>
  <c r="M163" i="28" s="1"/>
  <c r="C94" i="28"/>
  <c r="D94" i="28" s="1"/>
  <c r="E94" i="28" s="1"/>
  <c r="F94" i="28" s="1"/>
  <c r="G94" i="28" s="1"/>
  <c r="H94" i="28" s="1"/>
  <c r="I94" i="28" s="1"/>
  <c r="J94" i="28" s="1"/>
  <c r="K94" i="28" s="1"/>
  <c r="L94" i="28" s="1"/>
  <c r="M94" i="28" s="1"/>
  <c r="B140" i="28" s="1"/>
  <c r="C140" i="28" s="1"/>
  <c r="D140" i="28" s="1"/>
  <c r="E140" i="28" s="1"/>
  <c r="F140" i="28" s="1"/>
  <c r="G140" i="28" s="1"/>
  <c r="H140" i="28" s="1"/>
  <c r="I140" i="28" s="1"/>
  <c r="J140" i="28" s="1"/>
  <c r="K140" i="28" s="1"/>
  <c r="L140" i="28" s="1"/>
  <c r="M140" i="28" s="1"/>
  <c r="B186" i="28" s="1"/>
  <c r="C186" i="28" s="1"/>
  <c r="D186" i="28" s="1"/>
  <c r="E186" i="28" s="1"/>
  <c r="F186" i="28" s="1"/>
  <c r="G186" i="28" s="1"/>
  <c r="H186" i="28" s="1"/>
  <c r="I186" i="28" s="1"/>
  <c r="J186" i="28" s="1"/>
  <c r="K186" i="28" s="1"/>
  <c r="L186" i="28" s="1"/>
  <c r="M186" i="28" s="1"/>
  <c r="C91" i="28"/>
  <c r="D91" i="28" s="1"/>
  <c r="E91" i="28" s="1"/>
  <c r="F91" i="28" s="1"/>
  <c r="G91" i="28" s="1"/>
  <c r="H91" i="28" s="1"/>
  <c r="I91" i="28" s="1"/>
  <c r="J91" i="28" s="1"/>
  <c r="K91" i="28" s="1"/>
  <c r="L91" i="28" s="1"/>
  <c r="M91" i="28" s="1"/>
  <c r="B137" i="28" s="1"/>
  <c r="C137" i="28" s="1"/>
  <c r="D137" i="28" s="1"/>
  <c r="E137" i="28" s="1"/>
  <c r="F137" i="28" s="1"/>
  <c r="G137" i="28" s="1"/>
  <c r="H137" i="28" s="1"/>
  <c r="I137" i="28" s="1"/>
  <c r="J137" i="28" s="1"/>
  <c r="K137" i="28" s="1"/>
  <c r="L137" i="28" s="1"/>
  <c r="M137" i="28" s="1"/>
  <c r="B183" i="28" s="1"/>
  <c r="C183" i="28" s="1"/>
  <c r="D183" i="28" s="1"/>
  <c r="E183" i="28" s="1"/>
  <c r="F183" i="28" s="1"/>
  <c r="G183" i="28" s="1"/>
  <c r="H183" i="28" s="1"/>
  <c r="I183" i="28" s="1"/>
  <c r="J183" i="28" s="1"/>
  <c r="K183" i="28" s="1"/>
  <c r="L183" i="28" s="1"/>
  <c r="M183" i="28" s="1"/>
  <c r="C96" i="28"/>
  <c r="D96" i="28" s="1"/>
  <c r="E96" i="28" s="1"/>
  <c r="F96" i="28" s="1"/>
  <c r="G96" i="28" s="1"/>
  <c r="H96" i="28" s="1"/>
  <c r="I96" i="28" s="1"/>
  <c r="J96" i="28" s="1"/>
  <c r="K96" i="28" s="1"/>
  <c r="L96" i="28" s="1"/>
  <c r="M96" i="28" s="1"/>
  <c r="B142" i="28" s="1"/>
  <c r="C142" i="28" s="1"/>
  <c r="D142" i="28" s="1"/>
  <c r="E142" i="28" s="1"/>
  <c r="F142" i="28" s="1"/>
  <c r="G142" i="28" s="1"/>
  <c r="H142" i="28" s="1"/>
  <c r="I142" i="28" s="1"/>
  <c r="J142" i="28" s="1"/>
  <c r="K142" i="28" s="1"/>
  <c r="L142" i="28" s="1"/>
  <c r="M142" i="28" s="1"/>
  <c r="B188" i="28" s="1"/>
  <c r="C188" i="28" s="1"/>
  <c r="D188" i="28" s="1"/>
  <c r="E188" i="28" s="1"/>
  <c r="F188" i="28" s="1"/>
  <c r="G188" i="28" s="1"/>
  <c r="H188" i="28" s="1"/>
  <c r="I188" i="28" s="1"/>
  <c r="J188" i="28" s="1"/>
  <c r="K188" i="28" s="1"/>
  <c r="L188" i="28" s="1"/>
  <c r="M188" i="28" s="1"/>
  <c r="C93" i="28"/>
  <c r="D93" i="28" s="1"/>
  <c r="E93" i="28" s="1"/>
  <c r="F93" i="28" s="1"/>
  <c r="G93" i="28" s="1"/>
  <c r="H93" i="28" s="1"/>
  <c r="I93" i="28" s="1"/>
  <c r="J93" i="28" s="1"/>
  <c r="K93" i="28" s="1"/>
  <c r="L93" i="28" s="1"/>
  <c r="M93" i="28" s="1"/>
  <c r="B139" i="28" s="1"/>
  <c r="C139" i="28" s="1"/>
  <c r="D139" i="28" s="1"/>
  <c r="E139" i="28" s="1"/>
  <c r="F139" i="28" s="1"/>
  <c r="G139" i="28" s="1"/>
  <c r="H139" i="28" s="1"/>
  <c r="I139" i="28" s="1"/>
  <c r="J139" i="28" s="1"/>
  <c r="K139" i="28" s="1"/>
  <c r="L139" i="28" s="1"/>
  <c r="M139" i="28" s="1"/>
  <c r="B185" i="28" s="1"/>
  <c r="C185" i="28" s="1"/>
  <c r="D185" i="28" s="1"/>
  <c r="E185" i="28" s="1"/>
  <c r="F185" i="28" s="1"/>
  <c r="G185" i="28" s="1"/>
  <c r="H185" i="28" s="1"/>
  <c r="I185" i="28" s="1"/>
  <c r="J185" i="28" s="1"/>
  <c r="K185" i="28" s="1"/>
  <c r="L185" i="28" s="1"/>
  <c r="M185" i="28" s="1"/>
  <c r="C92" i="28"/>
  <c r="D92" i="28" s="1"/>
  <c r="E92" i="28" s="1"/>
  <c r="F92" i="28" s="1"/>
  <c r="G92" i="28" s="1"/>
  <c r="H92" i="28" s="1"/>
  <c r="I92" i="28" s="1"/>
  <c r="J92" i="28" s="1"/>
  <c r="K92" i="28" s="1"/>
  <c r="L92" i="28" s="1"/>
  <c r="M92" i="28" s="1"/>
  <c r="B138" i="28" s="1"/>
  <c r="C138" i="28" s="1"/>
  <c r="D138" i="28" s="1"/>
  <c r="E138" i="28" s="1"/>
  <c r="F138" i="28" s="1"/>
  <c r="G138" i="28" s="1"/>
  <c r="H138" i="28" s="1"/>
  <c r="I138" i="28" s="1"/>
  <c r="J138" i="28" s="1"/>
  <c r="K138" i="28" s="1"/>
  <c r="L138" i="28" s="1"/>
  <c r="M138" i="28" s="1"/>
  <c r="B184" i="28" s="1"/>
  <c r="C184" i="28" s="1"/>
  <c r="D184" i="28" s="1"/>
  <c r="E184" i="28" s="1"/>
  <c r="F184" i="28" s="1"/>
  <c r="G184" i="28" s="1"/>
  <c r="H184" i="28" s="1"/>
  <c r="I184" i="28" s="1"/>
  <c r="J184" i="28" s="1"/>
  <c r="K184" i="28" s="1"/>
  <c r="L184" i="28" s="1"/>
  <c r="M184" i="28" s="1"/>
  <c r="C89" i="28"/>
  <c r="D89" i="28" s="1"/>
  <c r="E89" i="28" s="1"/>
  <c r="F89" i="28" s="1"/>
  <c r="G89" i="28" s="1"/>
  <c r="H89" i="28" s="1"/>
  <c r="I89" i="28" s="1"/>
  <c r="J89" i="28" s="1"/>
  <c r="K89" i="28" s="1"/>
  <c r="L89" i="28" s="1"/>
  <c r="M89" i="28" s="1"/>
  <c r="B135" i="28" s="1"/>
  <c r="C135" i="28" s="1"/>
  <c r="D135" i="28" s="1"/>
  <c r="E135" i="28" s="1"/>
  <c r="F135" i="28" s="1"/>
  <c r="G135" i="28" s="1"/>
  <c r="H135" i="28" s="1"/>
  <c r="I135" i="28" s="1"/>
  <c r="J135" i="28" s="1"/>
  <c r="K135" i="28" s="1"/>
  <c r="L135" i="28" s="1"/>
  <c r="M135" i="28" s="1"/>
  <c r="B181" i="28" s="1"/>
  <c r="C181" i="28" s="1"/>
  <c r="D181" i="28" s="1"/>
  <c r="E181" i="28" s="1"/>
  <c r="F181" i="28" s="1"/>
  <c r="G181" i="28" s="1"/>
  <c r="H181" i="28" s="1"/>
  <c r="I181" i="28" s="1"/>
  <c r="J181" i="28" s="1"/>
  <c r="K181" i="28" s="1"/>
  <c r="L181" i="28" s="1"/>
  <c r="M181" i="28" s="1"/>
  <c r="C90" i="28"/>
  <c r="D90" i="28" s="1"/>
  <c r="E90" i="28" s="1"/>
  <c r="F90" i="28" s="1"/>
  <c r="G90" i="28" s="1"/>
  <c r="H90" i="28" s="1"/>
  <c r="I90" i="28" s="1"/>
  <c r="J90" i="28" s="1"/>
  <c r="K90" i="28" s="1"/>
  <c r="L90" i="28" s="1"/>
  <c r="M90" i="28" s="1"/>
  <c r="B136" i="28" s="1"/>
  <c r="C136" i="28" s="1"/>
  <c r="D136" i="28" s="1"/>
  <c r="E136" i="28" s="1"/>
  <c r="F136" i="28" s="1"/>
  <c r="G136" i="28" s="1"/>
  <c r="H136" i="28" s="1"/>
  <c r="I136" i="28" s="1"/>
  <c r="J136" i="28" s="1"/>
  <c r="K136" i="28" s="1"/>
  <c r="L136" i="28" s="1"/>
  <c r="M136" i="28" s="1"/>
  <c r="B182" i="28" s="1"/>
  <c r="C182" i="28" s="1"/>
  <c r="D182" i="28" s="1"/>
  <c r="E182" i="28" s="1"/>
  <c r="F182" i="28" s="1"/>
  <c r="G182" i="28" s="1"/>
  <c r="H182" i="28" s="1"/>
  <c r="I182" i="28" s="1"/>
  <c r="J182" i="28" s="1"/>
  <c r="K182" i="28" s="1"/>
  <c r="L182" i="28" s="1"/>
  <c r="M182" i="28" s="1"/>
  <c r="C88" i="28"/>
  <c r="D88" i="28" s="1"/>
  <c r="E88" i="28" s="1"/>
  <c r="F88" i="28" s="1"/>
  <c r="G88" i="28" s="1"/>
  <c r="H88" i="28" s="1"/>
  <c r="I88" i="28" s="1"/>
  <c r="J88" i="28" s="1"/>
  <c r="K88" i="28" s="1"/>
  <c r="L88" i="28" s="1"/>
  <c r="M88" i="28" s="1"/>
  <c r="B134" i="28" s="1"/>
  <c r="C134" i="28" s="1"/>
  <c r="D134" i="28" s="1"/>
  <c r="E134" i="28" s="1"/>
  <c r="F134" i="28" s="1"/>
  <c r="G134" i="28" s="1"/>
  <c r="H134" i="28" s="1"/>
  <c r="I134" i="28" s="1"/>
  <c r="J134" i="28" s="1"/>
  <c r="K134" i="28" s="1"/>
  <c r="L134" i="28" s="1"/>
  <c r="M134" i="28" s="1"/>
  <c r="B180" i="28" s="1"/>
  <c r="C180" i="28" s="1"/>
  <c r="D180" i="28" s="1"/>
  <c r="E180" i="28" s="1"/>
  <c r="F180" i="28" s="1"/>
  <c r="G180" i="28" s="1"/>
  <c r="H180" i="28" s="1"/>
  <c r="I180" i="28" s="1"/>
  <c r="J180" i="28" s="1"/>
  <c r="K180" i="28" s="1"/>
  <c r="L180" i="28" s="1"/>
  <c r="M180" i="28" s="1"/>
  <c r="C70" i="28"/>
  <c r="D70" i="28" s="1"/>
  <c r="E70" i="28" s="1"/>
  <c r="F70" i="28" s="1"/>
  <c r="G70" i="28" s="1"/>
  <c r="H70" i="28" s="1"/>
  <c r="I70" i="28" s="1"/>
  <c r="J70" i="28" s="1"/>
  <c r="K70" i="28" s="1"/>
  <c r="L70" i="28" s="1"/>
  <c r="M70" i="28" s="1"/>
  <c r="B116" i="28" s="1"/>
  <c r="C116" i="28" s="1"/>
  <c r="D116" i="28" s="1"/>
  <c r="E116" i="28" s="1"/>
  <c r="F116" i="28" s="1"/>
  <c r="G116" i="28" s="1"/>
  <c r="H116" i="28" s="1"/>
  <c r="I116" i="28" s="1"/>
  <c r="J116" i="28" s="1"/>
  <c r="K116" i="28" s="1"/>
  <c r="L116" i="28" s="1"/>
  <c r="M116" i="28" s="1"/>
  <c r="B162" i="28" s="1"/>
  <c r="C162" i="28" s="1"/>
  <c r="D162" i="28" s="1"/>
  <c r="E162" i="28" s="1"/>
  <c r="F162" i="28" s="1"/>
  <c r="G162" i="28" s="1"/>
  <c r="H162" i="28" s="1"/>
  <c r="I162" i="28" s="1"/>
  <c r="J162" i="28" s="1"/>
  <c r="K162" i="28" s="1"/>
  <c r="L162" i="28" s="1"/>
  <c r="M162" i="28" s="1"/>
  <c r="B143" i="28" l="1"/>
  <c r="E34" i="18" s="1"/>
  <c r="N116" i="28"/>
  <c r="B177" i="28"/>
  <c r="E33" i="21" s="1"/>
  <c r="C177" i="28"/>
  <c r="F33" i="21" s="1"/>
  <c r="B189" i="28"/>
  <c r="E34" i="21" s="1"/>
  <c r="D177" i="28"/>
  <c r="G33" i="21" s="1"/>
  <c r="C143" i="28"/>
  <c r="F34" i="18" s="1"/>
  <c r="B131" i="28"/>
  <c r="E33" i="18" s="1"/>
  <c r="D131" i="28"/>
  <c r="G33" i="18" s="1"/>
  <c r="C131" i="28"/>
  <c r="F33" i="18" s="1"/>
  <c r="E131" i="28"/>
  <c r="H33" i="18" s="1"/>
  <c r="C189" i="28" l="1"/>
  <c r="F34" i="21" s="1"/>
  <c r="D189" i="28"/>
  <c r="G34" i="21" s="1"/>
  <c r="E177" i="28"/>
  <c r="H33" i="21" s="1"/>
  <c r="D143" i="28"/>
  <c r="G34" i="18" s="1"/>
  <c r="F131" i="28"/>
  <c r="I33" i="18" s="1"/>
  <c r="E189" i="28" l="1"/>
  <c r="H34" i="21" s="1"/>
  <c r="F177" i="28"/>
  <c r="I33" i="21" s="1"/>
  <c r="E143" i="28"/>
  <c r="H34" i="18" s="1"/>
  <c r="G131" i="28"/>
  <c r="J33" i="18" s="1"/>
  <c r="F189" i="28" l="1"/>
  <c r="I34" i="21" s="1"/>
  <c r="G177" i="28"/>
  <c r="J33" i="21" s="1"/>
  <c r="F143" i="28"/>
  <c r="I34" i="18" s="1"/>
  <c r="H131" i="28"/>
  <c r="K33" i="18" s="1"/>
  <c r="G189" i="28" l="1"/>
  <c r="J34" i="21" s="1"/>
  <c r="H177" i="28"/>
  <c r="K33" i="21" s="1"/>
  <c r="G143" i="28"/>
  <c r="J34" i="18" s="1"/>
  <c r="I131" i="28"/>
  <c r="L33" i="18" s="1"/>
  <c r="H189" i="28" l="1"/>
  <c r="K34" i="21" s="1"/>
  <c r="I177" i="28"/>
  <c r="L33" i="21" s="1"/>
  <c r="H143" i="28"/>
  <c r="K34" i="18" s="1"/>
  <c r="J131" i="28"/>
  <c r="M33" i="18" s="1"/>
  <c r="I189" i="28" l="1"/>
  <c r="L34" i="21" s="1"/>
  <c r="J177" i="28"/>
  <c r="M33" i="21" s="1"/>
  <c r="I143" i="28"/>
  <c r="L34" i="18" s="1"/>
  <c r="K131" i="28"/>
  <c r="N33" i="18" s="1"/>
  <c r="J189" i="28" l="1"/>
  <c r="M34" i="21" s="1"/>
  <c r="K177" i="28"/>
  <c r="N33" i="21" s="1"/>
  <c r="J143" i="28"/>
  <c r="M34" i="18" s="1"/>
  <c r="M131" i="28"/>
  <c r="P33" i="18" s="1"/>
  <c r="L131" i="28"/>
  <c r="O33" i="18" s="1"/>
  <c r="K189" i="28" l="1"/>
  <c r="N34" i="21" s="1"/>
  <c r="L177" i="28"/>
  <c r="O33" i="21" s="1"/>
  <c r="M177" i="28"/>
  <c r="P33" i="21" s="1"/>
  <c r="K143" i="28"/>
  <c r="N34" i="18" s="1"/>
  <c r="M189" i="28" l="1"/>
  <c r="P34" i="21" s="1"/>
  <c r="L189" i="28"/>
  <c r="O34" i="21" s="1"/>
  <c r="M143" i="28"/>
  <c r="P34" i="18" s="1"/>
  <c r="L143" i="28"/>
  <c r="O34" i="18" s="1"/>
  <c r="A141" i="28" l="1"/>
  <c r="A187" i="28" s="1"/>
  <c r="A140" i="28"/>
  <c r="A186" i="28" s="1"/>
  <c r="A139" i="28"/>
  <c r="A185" i="28" s="1"/>
  <c r="A138" i="28"/>
  <c r="A184" i="28" s="1"/>
  <c r="A137" i="28"/>
  <c r="A183" i="28" s="1"/>
  <c r="A136" i="28"/>
  <c r="A182" i="28" s="1"/>
  <c r="A132" i="28"/>
  <c r="A178" i="28" s="1"/>
  <c r="A114" i="28"/>
  <c r="A89" i="28"/>
  <c r="A135" i="28" s="1"/>
  <c r="A181" i="28" s="1"/>
  <c r="A88" i="28"/>
  <c r="A134" i="28" s="1"/>
  <c r="A180" i="28" s="1"/>
  <c r="A58" i="28"/>
  <c r="A59" i="28"/>
  <c r="A60" i="28"/>
  <c r="A106" i="28" s="1"/>
  <c r="A152" i="28" s="1"/>
  <c r="A61" i="28"/>
  <c r="A107" i="28" s="1"/>
  <c r="A153" i="28" s="1"/>
  <c r="A62" i="28"/>
  <c r="A108" i="28" s="1"/>
  <c r="A154" i="28" s="1"/>
  <c r="A63" i="28"/>
  <c r="A109" i="28" s="1"/>
  <c r="A155" i="28" s="1"/>
  <c r="A64" i="28"/>
  <c r="A65" i="28"/>
  <c r="A111" i="28" s="1"/>
  <c r="A157" i="28" s="1"/>
  <c r="A70" i="28"/>
  <c r="A116" i="28" s="1"/>
  <c r="A162" i="28" s="1"/>
  <c r="A71" i="28"/>
  <c r="A117" i="28" s="1"/>
  <c r="A163" i="28" s="1"/>
  <c r="A72" i="28"/>
  <c r="A118" i="28" s="1"/>
  <c r="A164" i="28" s="1"/>
  <c r="A73" i="28"/>
  <c r="A74" i="28"/>
  <c r="A120" i="28" s="1"/>
  <c r="A166" i="28" s="1"/>
  <c r="A75" i="28"/>
  <c r="A121" i="28" s="1"/>
  <c r="A167" i="28" s="1"/>
  <c r="A76" i="28"/>
  <c r="A122" i="28" s="1"/>
  <c r="A168" i="28" s="1"/>
  <c r="A77" i="28"/>
  <c r="A123" i="28" s="1"/>
  <c r="A169" i="28" s="1"/>
  <c r="A78" i="28"/>
  <c r="A124" i="28" s="1"/>
  <c r="A170" i="28" s="1"/>
  <c r="A79" i="28"/>
  <c r="A125" i="28" s="1"/>
  <c r="A171" i="28" s="1"/>
  <c r="A80" i="28"/>
  <c r="A81" i="28"/>
  <c r="A127" i="28" s="1"/>
  <c r="A173" i="28" s="1"/>
  <c r="A82" i="28"/>
  <c r="A128" i="28" s="1"/>
  <c r="A174" i="28" s="1"/>
  <c r="A83" i="28"/>
  <c r="A129" i="28" s="1"/>
  <c r="A175" i="28" s="1"/>
  <c r="A84" i="28"/>
  <c r="A130" i="28" s="1"/>
  <c r="A176" i="28" s="1"/>
  <c r="A119" i="28"/>
  <c r="A165" i="28" s="1"/>
  <c r="A104" i="28"/>
  <c r="A150" i="28" s="1"/>
  <c r="A57" i="28"/>
  <c r="A103" i="28" s="1"/>
  <c r="A149" i="28" s="1"/>
  <c r="A126" i="28"/>
  <c r="A172" i="28" s="1"/>
  <c r="A102" i="28"/>
  <c r="A148" i="28" s="1"/>
  <c r="M97" i="28"/>
  <c r="P34" i="9" s="1"/>
  <c r="I33" i="6"/>
  <c r="A110" i="28"/>
  <c r="A156" i="28" s="1"/>
  <c r="A105" i="28"/>
  <c r="A151" i="28" s="1"/>
  <c r="B55" i="28"/>
  <c r="E31" i="9" s="1"/>
  <c r="A97" i="28"/>
  <c r="A142" i="28"/>
  <c r="A188" i="28" s="1"/>
  <c r="A87" i="28"/>
  <c r="A133" i="28" s="1"/>
  <c r="A179" i="28" s="1"/>
  <c r="A85" i="28"/>
  <c r="A131" i="28" s="1"/>
  <c r="A177" i="28" s="1"/>
  <c r="A69" i="28"/>
  <c r="A115" i="28" s="1"/>
  <c r="A161" i="28" s="1"/>
  <c r="A66" i="28"/>
  <c r="A112" i="28" s="1"/>
  <c r="A158" i="28" s="1"/>
  <c r="H12" i="29"/>
  <c r="S283" i="29"/>
  <c r="R283" i="29"/>
  <c r="Q283" i="29"/>
  <c r="P283" i="29"/>
  <c r="O283" i="29"/>
  <c r="N283" i="29"/>
  <c r="M283" i="29"/>
  <c r="L283" i="29"/>
  <c r="K283" i="29"/>
  <c r="J283" i="29"/>
  <c r="I283" i="29"/>
  <c r="H283" i="29"/>
  <c r="S262" i="29"/>
  <c r="R262" i="29"/>
  <c r="Q262" i="29"/>
  <c r="P262" i="29"/>
  <c r="O262" i="29"/>
  <c r="N262" i="29"/>
  <c r="M262" i="29"/>
  <c r="L262" i="29"/>
  <c r="K262" i="29"/>
  <c r="J262" i="29"/>
  <c r="I262" i="29"/>
  <c r="T262" i="29" s="1"/>
  <c r="H262" i="29"/>
  <c r="S241" i="29"/>
  <c r="R241" i="29"/>
  <c r="Q241" i="29"/>
  <c r="P241" i="29"/>
  <c r="O241" i="29"/>
  <c r="N241" i="29"/>
  <c r="M241" i="29"/>
  <c r="L241" i="29"/>
  <c r="K241" i="29"/>
  <c r="J241" i="29"/>
  <c r="I241" i="29"/>
  <c r="H241" i="29"/>
  <c r="R220" i="29"/>
  <c r="Q220" i="29"/>
  <c r="P220" i="29"/>
  <c r="O220" i="29"/>
  <c r="N220" i="29"/>
  <c r="M220" i="29"/>
  <c r="L220" i="29"/>
  <c r="K220" i="29"/>
  <c r="J220" i="29"/>
  <c r="I220" i="29"/>
  <c r="S199" i="29"/>
  <c r="R199" i="29"/>
  <c r="Q199" i="29"/>
  <c r="P199" i="29"/>
  <c r="O199" i="29"/>
  <c r="N199" i="29"/>
  <c r="M199" i="29"/>
  <c r="L199" i="29"/>
  <c r="K199" i="29"/>
  <c r="T199" i="29" s="1"/>
  <c r="J199" i="29"/>
  <c r="I199" i="29"/>
  <c r="H199" i="29"/>
  <c r="S178" i="29"/>
  <c r="R178" i="29"/>
  <c r="Q178" i="29"/>
  <c r="P178" i="29"/>
  <c r="O178" i="29"/>
  <c r="N178" i="29"/>
  <c r="M178" i="29"/>
  <c r="L178" i="29"/>
  <c r="K178" i="29"/>
  <c r="T178" i="29" s="1"/>
  <c r="J178" i="29"/>
  <c r="I178" i="29"/>
  <c r="H178" i="29"/>
  <c r="S157" i="29"/>
  <c r="R157" i="29"/>
  <c r="Q157" i="29"/>
  <c r="P157" i="29"/>
  <c r="O157" i="29"/>
  <c r="N157" i="29"/>
  <c r="M157" i="29"/>
  <c r="L157" i="29"/>
  <c r="K157" i="29"/>
  <c r="T157" i="29" s="1"/>
  <c r="J157" i="29"/>
  <c r="I157" i="29"/>
  <c r="H157" i="29"/>
  <c r="S136" i="29"/>
  <c r="R136" i="29"/>
  <c r="Q136" i="29"/>
  <c r="P136" i="29"/>
  <c r="O136" i="29"/>
  <c r="N136" i="29"/>
  <c r="M136" i="29"/>
  <c r="L136" i="29"/>
  <c r="K136" i="29"/>
  <c r="T136" i="29" s="1"/>
  <c r="J136" i="29"/>
  <c r="I136" i="29"/>
  <c r="H136" i="29"/>
  <c r="S115" i="29"/>
  <c r="R115" i="29"/>
  <c r="Q115" i="29"/>
  <c r="P115" i="29"/>
  <c r="O115" i="29"/>
  <c r="N115" i="29"/>
  <c r="M115" i="29"/>
  <c r="L115" i="29"/>
  <c r="K115" i="29"/>
  <c r="T115" i="29" s="1"/>
  <c r="J115" i="29"/>
  <c r="I115" i="29"/>
  <c r="H115" i="29"/>
  <c r="S94" i="29"/>
  <c r="R94" i="29"/>
  <c r="Q94" i="29"/>
  <c r="P94" i="29"/>
  <c r="O94" i="29"/>
  <c r="N94" i="29"/>
  <c r="M94" i="29"/>
  <c r="L94" i="29"/>
  <c r="K94" i="29"/>
  <c r="T94" i="29" s="1"/>
  <c r="J94" i="29"/>
  <c r="I94" i="29"/>
  <c r="H94" i="29"/>
  <c r="S73" i="29"/>
  <c r="R73" i="29"/>
  <c r="Q73" i="29"/>
  <c r="P73" i="29"/>
  <c r="O73" i="29"/>
  <c r="N73" i="29"/>
  <c r="M73" i="29"/>
  <c r="L73" i="29"/>
  <c r="K73" i="29"/>
  <c r="T73" i="29" s="1"/>
  <c r="J73" i="29"/>
  <c r="I73" i="29"/>
  <c r="H73" i="29"/>
  <c r="S52" i="29"/>
  <c r="R52" i="29"/>
  <c r="Q52" i="29"/>
  <c r="P52" i="29"/>
  <c r="O52" i="29"/>
  <c r="N52" i="29"/>
  <c r="M52" i="29"/>
  <c r="L52" i="29"/>
  <c r="K52" i="29"/>
  <c r="J52" i="29"/>
  <c r="I52" i="29"/>
  <c r="H52" i="29"/>
  <c r="S31" i="29"/>
  <c r="R31" i="29"/>
  <c r="Q31" i="29"/>
  <c r="P31" i="29"/>
  <c r="O31" i="29"/>
  <c r="N31" i="29"/>
  <c r="M31" i="29"/>
  <c r="L31" i="29"/>
  <c r="K31" i="29"/>
  <c r="J31" i="29"/>
  <c r="I31" i="29"/>
  <c r="H31" i="29"/>
  <c r="R10" i="29"/>
  <c r="Q10" i="29"/>
  <c r="P10" i="29"/>
  <c r="O10" i="29"/>
  <c r="N10" i="29"/>
  <c r="M10" i="29"/>
  <c r="L10" i="29"/>
  <c r="K10" i="29"/>
  <c r="J10" i="29"/>
  <c r="I10" i="29"/>
  <c r="H285" i="29"/>
  <c r="I285" i="29"/>
  <c r="H264" i="29"/>
  <c r="H243" i="29"/>
  <c r="H222" i="29"/>
  <c r="I222" i="29" s="1"/>
  <c r="H201" i="29"/>
  <c r="I201" i="29"/>
  <c r="H180" i="29"/>
  <c r="I180" i="29" s="1"/>
  <c r="H159" i="29"/>
  <c r="I159" i="29" s="1"/>
  <c r="H138" i="29"/>
  <c r="I138" i="29"/>
  <c r="I145" i="29" s="1"/>
  <c r="H117" i="29"/>
  <c r="I117" i="29" s="1"/>
  <c r="H96" i="29"/>
  <c r="H103" i="29"/>
  <c r="H75" i="29"/>
  <c r="I75" i="29" s="1"/>
  <c r="H54" i="29"/>
  <c r="H61" i="29"/>
  <c r="H33" i="29"/>
  <c r="I33" i="29" s="1"/>
  <c r="J33" i="29" s="1"/>
  <c r="K33" i="29" s="1"/>
  <c r="H125" i="3"/>
  <c r="I125" i="3"/>
  <c r="J125" i="3" s="1"/>
  <c r="H103" i="3"/>
  <c r="I103" i="3" s="1"/>
  <c r="J103" i="3" s="1"/>
  <c r="H81" i="3"/>
  <c r="I81" i="3" s="1"/>
  <c r="H59" i="3"/>
  <c r="H37" i="3"/>
  <c r="I37" i="3" s="1"/>
  <c r="F10" i="18" s="1"/>
  <c r="H15" i="3"/>
  <c r="I15" i="3" s="1"/>
  <c r="G18" i="28"/>
  <c r="H18" i="28" s="1"/>
  <c r="G17" i="28"/>
  <c r="H17" i="28" s="1"/>
  <c r="G16" i="28"/>
  <c r="H16" i="28" s="1"/>
  <c r="G15" i="28"/>
  <c r="H15" i="28" s="1"/>
  <c r="G14" i="28"/>
  <c r="H14" i="28" s="1"/>
  <c r="G13" i="28"/>
  <c r="H13" i="28" s="1"/>
  <c r="G12" i="28"/>
  <c r="H12" i="28" s="1"/>
  <c r="G11" i="28"/>
  <c r="H11" i="28" s="1"/>
  <c r="G10" i="28"/>
  <c r="H10" i="28" s="1"/>
  <c r="F10" i="28"/>
  <c r="B57" i="28" s="1"/>
  <c r="C57" i="28" s="1"/>
  <c r="D57" i="28" s="1"/>
  <c r="E57" i="28" s="1"/>
  <c r="F57" i="28" s="1"/>
  <c r="G57" i="28" s="1"/>
  <c r="H57" i="28" s="1"/>
  <c r="I57" i="28" s="1"/>
  <c r="J57" i="28" s="1"/>
  <c r="K57" i="28" s="1"/>
  <c r="L57" i="28" s="1"/>
  <c r="M57" i="28" s="1"/>
  <c r="B103" i="28" s="1"/>
  <c r="C103" i="28" s="1"/>
  <c r="D103" i="28" s="1"/>
  <c r="E103" i="28" s="1"/>
  <c r="F103" i="28" s="1"/>
  <c r="G103" i="28" s="1"/>
  <c r="H103" i="28" s="1"/>
  <c r="I103" i="28" s="1"/>
  <c r="J103" i="28" s="1"/>
  <c r="K103" i="28" s="1"/>
  <c r="L103" i="28" s="1"/>
  <c r="M103" i="28" s="1"/>
  <c r="B149" i="28" s="1"/>
  <c r="C149" i="28" s="1"/>
  <c r="D149" i="28" s="1"/>
  <c r="E149" i="28" s="1"/>
  <c r="F149" i="28" s="1"/>
  <c r="G149" i="28" s="1"/>
  <c r="H149" i="28" s="1"/>
  <c r="I149" i="28" s="1"/>
  <c r="J149" i="28" s="1"/>
  <c r="K149" i="28" s="1"/>
  <c r="L149" i="28" s="1"/>
  <c r="M149" i="28" s="1"/>
  <c r="F18" i="28"/>
  <c r="F17" i="28"/>
  <c r="F16" i="28"/>
  <c r="F15" i="28"/>
  <c r="F14" i="28"/>
  <c r="F13" i="28"/>
  <c r="F12" i="28"/>
  <c r="F11" i="28"/>
  <c r="C284" i="29"/>
  <c r="C242" i="29"/>
  <c r="C263" i="29"/>
  <c r="C221" i="29"/>
  <c r="C200" i="29"/>
  <c r="C179" i="29"/>
  <c r="C158" i="29"/>
  <c r="C137" i="29"/>
  <c r="C116" i="29"/>
  <c r="C95" i="29"/>
  <c r="C74" i="29"/>
  <c r="C53" i="29"/>
  <c r="C32" i="29"/>
  <c r="C124" i="3"/>
  <c r="C102" i="3"/>
  <c r="C80" i="3"/>
  <c r="C58" i="3"/>
  <c r="C36" i="3"/>
  <c r="T241" i="29"/>
  <c r="T52" i="29"/>
  <c r="B130" i="3"/>
  <c r="B108" i="3"/>
  <c r="B86" i="3"/>
  <c r="B64" i="3"/>
  <c r="B42" i="3"/>
  <c r="B20" i="3"/>
  <c r="B20" i="31"/>
  <c r="N158" i="3" s="1"/>
  <c r="E9" i="9"/>
  <c r="H9" i="9"/>
  <c r="A1" i="1"/>
  <c r="A1" i="22" s="1"/>
  <c r="A1" i="23" s="1"/>
  <c r="H377" i="29"/>
  <c r="H50" i="31"/>
  <c r="H51" i="31" s="1"/>
  <c r="E259" i="29" s="1"/>
  <c r="E50" i="31"/>
  <c r="B50" i="31"/>
  <c r="B51" i="31" s="1"/>
  <c r="E217" i="29" s="1"/>
  <c r="K40" i="31"/>
  <c r="H40" i="31"/>
  <c r="H357" i="29" s="1"/>
  <c r="E40" i="31"/>
  <c r="H353" i="29" s="1"/>
  <c r="B40" i="31"/>
  <c r="O349" i="29" s="1"/>
  <c r="K30" i="31"/>
  <c r="K31" i="31" s="1"/>
  <c r="E112" i="29" s="1"/>
  <c r="H30" i="31"/>
  <c r="H31" i="31" s="1"/>
  <c r="E91" i="29" s="1"/>
  <c r="E30" i="31"/>
  <c r="R337" i="29" s="1"/>
  <c r="B30" i="31"/>
  <c r="I333" i="29" s="1"/>
  <c r="K20" i="31"/>
  <c r="H20" i="31"/>
  <c r="O325" i="29" s="1"/>
  <c r="E20" i="31"/>
  <c r="E21" i="31" s="1"/>
  <c r="E120" i="3" s="1"/>
  <c r="K10" i="31"/>
  <c r="H154" i="3" s="1"/>
  <c r="H10" i="31"/>
  <c r="E10" i="31"/>
  <c r="B10" i="31"/>
  <c r="B11" i="31" s="1"/>
  <c r="E10" i="3" s="1"/>
  <c r="F133" i="29"/>
  <c r="G6" i="28"/>
  <c r="E13" i="8"/>
  <c r="E11" i="8"/>
  <c r="A278" i="29"/>
  <c r="B377" i="29" s="1"/>
  <c r="A257" i="29"/>
  <c r="B373" i="29" s="1"/>
  <c r="A236" i="29"/>
  <c r="B369" i="29" s="1"/>
  <c r="A215" i="29"/>
  <c r="B365" i="29" s="1"/>
  <c r="A194" i="29"/>
  <c r="B361" i="29" s="1"/>
  <c r="A173" i="29"/>
  <c r="B357" i="29"/>
  <c r="A152" i="29"/>
  <c r="B353" i="29" s="1"/>
  <c r="A131" i="29"/>
  <c r="B349" i="29" s="1"/>
  <c r="A110" i="29"/>
  <c r="B345" i="29" s="1"/>
  <c r="A89" i="29"/>
  <c r="B341" i="29" s="1"/>
  <c r="A68" i="29"/>
  <c r="B337" i="29" s="1"/>
  <c r="A47" i="29"/>
  <c r="B333" i="29" s="1"/>
  <c r="A26" i="29"/>
  <c r="B329" i="29" s="1"/>
  <c r="A5" i="29"/>
  <c r="B325" i="29" s="1"/>
  <c r="A118" i="3"/>
  <c r="B162" i="3" s="1"/>
  <c r="A96" i="3"/>
  <c r="B158" i="3" s="1"/>
  <c r="A74" i="3"/>
  <c r="B154" i="3" s="1"/>
  <c r="A52" i="3"/>
  <c r="A30" i="3"/>
  <c r="A8" i="3"/>
  <c r="B9" i="9" s="1"/>
  <c r="T124" i="3"/>
  <c r="H123" i="3"/>
  <c r="I123" i="3"/>
  <c r="J123" i="3"/>
  <c r="K123" i="3"/>
  <c r="L123" i="3"/>
  <c r="M123" i="3"/>
  <c r="N123" i="3"/>
  <c r="O123" i="3"/>
  <c r="P123" i="3"/>
  <c r="Q123" i="3"/>
  <c r="R123" i="3"/>
  <c r="S123" i="3"/>
  <c r="T102" i="3"/>
  <c r="E107" i="3" s="1"/>
  <c r="H101" i="3"/>
  <c r="I101" i="3"/>
  <c r="J101" i="3"/>
  <c r="K101" i="3"/>
  <c r="L101" i="3"/>
  <c r="M101" i="3"/>
  <c r="N101" i="3"/>
  <c r="O101" i="3"/>
  <c r="P101" i="3"/>
  <c r="Q101" i="3"/>
  <c r="R101" i="3"/>
  <c r="S101" i="3"/>
  <c r="T80" i="3"/>
  <c r="M79" i="3" s="1"/>
  <c r="H79" i="3"/>
  <c r="I79" i="3"/>
  <c r="J79" i="3"/>
  <c r="K79" i="3"/>
  <c r="L79" i="3"/>
  <c r="N79" i="3"/>
  <c r="O79" i="3"/>
  <c r="P79" i="3"/>
  <c r="R79" i="3"/>
  <c r="S79" i="3"/>
  <c r="T58" i="3"/>
  <c r="Q57" i="3" s="1"/>
  <c r="H57" i="3"/>
  <c r="I57" i="3"/>
  <c r="J57" i="3"/>
  <c r="K57" i="3"/>
  <c r="L57" i="3"/>
  <c r="T36" i="3"/>
  <c r="E41" i="3" s="1"/>
  <c r="T14" i="3"/>
  <c r="J13" i="3" s="1"/>
  <c r="L13" i="3"/>
  <c r="T284" i="29"/>
  <c r="E289" i="29" s="1"/>
  <c r="H289" i="29"/>
  <c r="I289" i="29"/>
  <c r="J289" i="29"/>
  <c r="K289" i="29"/>
  <c r="L289" i="29"/>
  <c r="M289" i="29"/>
  <c r="N289" i="29"/>
  <c r="O289" i="29"/>
  <c r="P289" i="29"/>
  <c r="Q289" i="29"/>
  <c r="R289" i="29"/>
  <c r="S289" i="29"/>
  <c r="F281" i="29"/>
  <c r="F280" i="29"/>
  <c r="H271" i="29"/>
  <c r="T263" i="29"/>
  <c r="H268" i="29"/>
  <c r="I268" i="29"/>
  <c r="J268" i="29"/>
  <c r="K268" i="29"/>
  <c r="L268" i="29"/>
  <c r="M268" i="29"/>
  <c r="N268" i="29"/>
  <c r="O268" i="29"/>
  <c r="P268" i="29"/>
  <c r="Q268" i="29"/>
  <c r="R268" i="29"/>
  <c r="S268" i="29"/>
  <c r="E268" i="29"/>
  <c r="F260" i="29"/>
  <c r="F259" i="29"/>
  <c r="T242" i="29"/>
  <c r="H247" i="29"/>
  <c r="I247" i="29"/>
  <c r="J247" i="29"/>
  <c r="K247" i="29"/>
  <c r="L247" i="29"/>
  <c r="M247" i="29"/>
  <c r="N247" i="29"/>
  <c r="O247" i="29"/>
  <c r="P247" i="29"/>
  <c r="Q247" i="29"/>
  <c r="R247" i="29"/>
  <c r="S247" i="29"/>
  <c r="E247" i="29"/>
  <c r="F239" i="29"/>
  <c r="F238" i="29"/>
  <c r="T221" i="29"/>
  <c r="H220" i="29"/>
  <c r="H226" i="29"/>
  <c r="I226" i="29"/>
  <c r="J226" i="29"/>
  <c r="K226" i="29"/>
  <c r="L226" i="29"/>
  <c r="M226" i="29"/>
  <c r="N226" i="29"/>
  <c r="O226" i="29"/>
  <c r="P226" i="29"/>
  <c r="Q226" i="29"/>
  <c r="R226" i="29"/>
  <c r="S226" i="29"/>
  <c r="F217" i="29"/>
  <c r="T200" i="29"/>
  <c r="E205" i="29" s="1"/>
  <c r="H205" i="29"/>
  <c r="I205" i="29"/>
  <c r="J205" i="29"/>
  <c r="K205" i="29"/>
  <c r="L205" i="29"/>
  <c r="M205" i="29"/>
  <c r="N205" i="29"/>
  <c r="O205" i="29"/>
  <c r="P205" i="29"/>
  <c r="Q205" i="29"/>
  <c r="R205" i="29"/>
  <c r="S205" i="29"/>
  <c r="F197" i="29"/>
  <c r="F196" i="29"/>
  <c r="H187" i="29"/>
  <c r="T179" i="29"/>
  <c r="E184" i="29" s="1"/>
  <c r="H184" i="29"/>
  <c r="I184" i="29"/>
  <c r="J184" i="29"/>
  <c r="K184" i="29"/>
  <c r="L184" i="29"/>
  <c r="M184" i="29"/>
  <c r="N184" i="29"/>
  <c r="O184" i="29"/>
  <c r="P184" i="29"/>
  <c r="Q184" i="29"/>
  <c r="R184" i="29"/>
  <c r="S184" i="29"/>
  <c r="F176" i="29"/>
  <c r="F175" i="29"/>
  <c r="H166" i="29"/>
  <c r="T158" i="29"/>
  <c r="E163" i="29" s="1"/>
  <c r="H163" i="29"/>
  <c r="I163" i="29"/>
  <c r="J163" i="29"/>
  <c r="K163" i="29"/>
  <c r="L163" i="29"/>
  <c r="M163" i="29"/>
  <c r="N163" i="29"/>
  <c r="O163" i="29"/>
  <c r="P163" i="29"/>
  <c r="Q163" i="29"/>
  <c r="R163" i="29"/>
  <c r="S163" i="29"/>
  <c r="F155" i="29"/>
  <c r="F154" i="29"/>
  <c r="H145" i="29"/>
  <c r="T137" i="29"/>
  <c r="E142" i="29" s="1"/>
  <c r="H142" i="29"/>
  <c r="I142" i="29"/>
  <c r="J142" i="29"/>
  <c r="K142" i="29"/>
  <c r="L142" i="29"/>
  <c r="M142" i="29"/>
  <c r="N142" i="29"/>
  <c r="O142" i="29"/>
  <c r="P142" i="29"/>
  <c r="Q142" i="29"/>
  <c r="R142" i="29"/>
  <c r="S142" i="29"/>
  <c r="H124" i="29"/>
  <c r="T116" i="29"/>
  <c r="E121" i="29" s="1"/>
  <c r="H121" i="29"/>
  <c r="I121" i="29"/>
  <c r="J121" i="29"/>
  <c r="K121" i="29"/>
  <c r="L121" i="29"/>
  <c r="M121" i="29"/>
  <c r="N121" i="29"/>
  <c r="O121" i="29"/>
  <c r="P121" i="29"/>
  <c r="Q121" i="29"/>
  <c r="R121" i="29"/>
  <c r="S121" i="29"/>
  <c r="F113" i="29"/>
  <c r="F112" i="29"/>
  <c r="T95" i="29"/>
  <c r="E100" i="29" s="1"/>
  <c r="H100" i="29"/>
  <c r="I100" i="29"/>
  <c r="J100" i="29"/>
  <c r="K100" i="29"/>
  <c r="L100" i="29"/>
  <c r="M100" i="29"/>
  <c r="N100" i="29"/>
  <c r="O100" i="29"/>
  <c r="P100" i="29"/>
  <c r="Q100" i="29"/>
  <c r="R100" i="29"/>
  <c r="S100" i="29"/>
  <c r="F92" i="29"/>
  <c r="F91" i="29"/>
  <c r="T74" i="29"/>
  <c r="E79" i="29" s="1"/>
  <c r="H79" i="29"/>
  <c r="I79" i="29"/>
  <c r="J79" i="29"/>
  <c r="K79" i="29"/>
  <c r="L79" i="29"/>
  <c r="M79" i="29"/>
  <c r="N79" i="29"/>
  <c r="O79" i="29"/>
  <c r="P79" i="29"/>
  <c r="Q79" i="29"/>
  <c r="R79" i="29"/>
  <c r="S79" i="29"/>
  <c r="F71" i="29"/>
  <c r="F70" i="29"/>
  <c r="T53" i="29"/>
  <c r="E58" i="29" s="1"/>
  <c r="H58" i="29"/>
  <c r="I58" i="29"/>
  <c r="J58" i="29"/>
  <c r="K58" i="29"/>
  <c r="L58" i="29"/>
  <c r="M58" i="29"/>
  <c r="N58" i="29"/>
  <c r="O58" i="29"/>
  <c r="P58" i="29"/>
  <c r="Q58" i="29"/>
  <c r="R58" i="29"/>
  <c r="S58" i="29"/>
  <c r="F50" i="29"/>
  <c r="F49" i="29"/>
  <c r="H40" i="29"/>
  <c r="T32" i="29"/>
  <c r="E37" i="29"/>
  <c r="H37" i="29"/>
  <c r="I37" i="29"/>
  <c r="J37" i="29"/>
  <c r="K37" i="29"/>
  <c r="L37" i="29"/>
  <c r="M37" i="29"/>
  <c r="N37" i="29"/>
  <c r="O37" i="29"/>
  <c r="P37" i="29"/>
  <c r="Q37" i="29"/>
  <c r="Q330" i="29" s="1"/>
  <c r="R37" i="29"/>
  <c r="S37" i="29"/>
  <c r="F29" i="29"/>
  <c r="F28" i="29"/>
  <c r="T11" i="29"/>
  <c r="E16" i="29" s="1"/>
  <c r="H16" i="29"/>
  <c r="I16" i="29"/>
  <c r="J16" i="29"/>
  <c r="S16" i="29"/>
  <c r="K16" i="29"/>
  <c r="L16" i="29"/>
  <c r="M16" i="29"/>
  <c r="N16" i="29"/>
  <c r="O16" i="29"/>
  <c r="P16" i="29"/>
  <c r="Q16" i="29"/>
  <c r="R16" i="29"/>
  <c r="B13" i="8"/>
  <c r="I29" i="1"/>
  <c r="J26" i="14" s="1"/>
  <c r="K26" i="14" s="1"/>
  <c r="J27" i="14"/>
  <c r="K27" i="14" s="1"/>
  <c r="G34" i="7"/>
  <c r="E65" i="9" s="1"/>
  <c r="F65" i="9" s="1"/>
  <c r="G65" i="9" s="1"/>
  <c r="H65" i="9" s="1"/>
  <c r="I65" i="9" s="1"/>
  <c r="J65" i="9" s="1"/>
  <c r="K65" i="9" s="1"/>
  <c r="L65" i="9" s="1"/>
  <c r="M65" i="9" s="1"/>
  <c r="E89" i="18"/>
  <c r="E89" i="21"/>
  <c r="E10" i="8"/>
  <c r="E30" i="8"/>
  <c r="E31" i="8"/>
  <c r="E10" i="9"/>
  <c r="E11" i="9"/>
  <c r="E12" i="9"/>
  <c r="E13" i="9"/>
  <c r="E14" i="9"/>
  <c r="F23" i="28"/>
  <c r="G23" i="28" s="1"/>
  <c r="H23" i="28" s="1"/>
  <c r="F24" i="28"/>
  <c r="F25" i="28"/>
  <c r="F33" i="28"/>
  <c r="G33" i="28" s="1"/>
  <c r="H33" i="28" s="1"/>
  <c r="F34" i="28"/>
  <c r="G34" i="28" s="1"/>
  <c r="H34" i="28" s="1"/>
  <c r="F35" i="28"/>
  <c r="G35" i="28" s="1"/>
  <c r="H35" i="28" s="1"/>
  <c r="F36" i="28"/>
  <c r="G36" i="28" s="1"/>
  <c r="H36" i="28" s="1"/>
  <c r="F37" i="28"/>
  <c r="G37" i="28" s="1"/>
  <c r="H37" i="28" s="1"/>
  <c r="F41" i="28"/>
  <c r="G41" i="28" s="1"/>
  <c r="H41" i="28" s="1"/>
  <c r="F42" i="28"/>
  <c r="G42" i="28" s="1"/>
  <c r="H42" i="28" s="1"/>
  <c r="F43" i="28"/>
  <c r="G43" i="28" s="1"/>
  <c r="H43" i="28" s="1"/>
  <c r="F44" i="28"/>
  <c r="G44" i="28" s="1"/>
  <c r="H44" i="28" s="1"/>
  <c r="F45" i="28"/>
  <c r="G45" i="28" s="1"/>
  <c r="H45" i="28" s="1"/>
  <c r="F46" i="28"/>
  <c r="G46" i="28" s="1"/>
  <c r="H46" i="28" s="1"/>
  <c r="F47" i="28"/>
  <c r="G47" i="28" s="1"/>
  <c r="H47" i="28" s="1"/>
  <c r="F48" i="28"/>
  <c r="G48" i="28" s="1"/>
  <c r="H48" i="28" s="1"/>
  <c r="F49" i="28"/>
  <c r="E35" i="9"/>
  <c r="F35" i="9" s="1"/>
  <c r="G35" i="9" s="1"/>
  <c r="H35" i="9" s="1"/>
  <c r="I35" i="9" s="1"/>
  <c r="J35" i="9" s="1"/>
  <c r="K35" i="9" s="1"/>
  <c r="L35" i="9" s="1"/>
  <c r="M35" i="9" s="1"/>
  <c r="N35" i="9" s="1"/>
  <c r="O35" i="9" s="1"/>
  <c r="P35" i="9" s="1"/>
  <c r="Q35" i="9" s="1"/>
  <c r="F35" i="13" s="1"/>
  <c r="E40" i="9"/>
  <c r="E41" i="9"/>
  <c r="F41" i="9" s="1"/>
  <c r="G41" i="9" s="1"/>
  <c r="H41" i="9" s="1"/>
  <c r="I41" i="9" s="1"/>
  <c r="E42" i="9"/>
  <c r="F42" i="9" s="1"/>
  <c r="G42" i="9" s="1"/>
  <c r="H42" i="9" s="1"/>
  <c r="E43" i="9"/>
  <c r="E44" i="9"/>
  <c r="F44" i="9" s="1"/>
  <c r="G44" i="9" s="1"/>
  <c r="H44" i="9" s="1"/>
  <c r="E45" i="9"/>
  <c r="E46" i="9"/>
  <c r="F46" i="9" s="1"/>
  <c r="G46" i="9" s="1"/>
  <c r="H46" i="9" s="1"/>
  <c r="I46" i="9" s="1"/>
  <c r="J46" i="9" s="1"/>
  <c r="K46" i="9" s="1"/>
  <c r="E47" i="9"/>
  <c r="F47" i="9" s="1"/>
  <c r="G47" i="9" s="1"/>
  <c r="H47" i="9" s="1"/>
  <c r="I47" i="9" s="1"/>
  <c r="J47" i="9" s="1"/>
  <c r="K47" i="9" s="1"/>
  <c r="L47" i="9" s="1"/>
  <c r="M47" i="9" s="1"/>
  <c r="N47" i="9" s="1"/>
  <c r="O47" i="9" s="1"/>
  <c r="P47" i="9" s="1"/>
  <c r="E48" i="9"/>
  <c r="E49" i="9"/>
  <c r="F49" i="9" s="1"/>
  <c r="G49" i="9" s="1"/>
  <c r="H49" i="9" s="1"/>
  <c r="I49" i="9" s="1"/>
  <c r="J49" i="9" s="1"/>
  <c r="K49" i="9" s="1"/>
  <c r="L49" i="9" s="1"/>
  <c r="M49" i="9" s="1"/>
  <c r="N49" i="9" s="1"/>
  <c r="O49" i="9" s="1"/>
  <c r="P49" i="9" s="1"/>
  <c r="E50" i="9"/>
  <c r="F50" i="9" s="1"/>
  <c r="G50" i="9" s="1"/>
  <c r="H50" i="9" s="1"/>
  <c r="E51" i="9"/>
  <c r="F51" i="9" s="1"/>
  <c r="G51" i="9" s="1"/>
  <c r="H51" i="9" s="1"/>
  <c r="E52" i="9"/>
  <c r="F52" i="9" s="1"/>
  <c r="G52" i="9" s="1"/>
  <c r="H52" i="9" s="1"/>
  <c r="I52" i="9" s="1"/>
  <c r="E53" i="9"/>
  <c r="F53" i="9" s="1"/>
  <c r="G53" i="9" s="1"/>
  <c r="H53" i="9" s="1"/>
  <c r="I53" i="9" s="1"/>
  <c r="J53" i="9" s="1"/>
  <c r="E54" i="9"/>
  <c r="F54" i="9" s="1"/>
  <c r="G54" i="9" s="1"/>
  <c r="H54" i="9" s="1"/>
  <c r="E55" i="9"/>
  <c r="F55" i="9" s="1"/>
  <c r="G55" i="9" s="1"/>
  <c r="H55" i="9" s="1"/>
  <c r="I55" i="9" s="1"/>
  <c r="J55" i="9" s="1"/>
  <c r="K55" i="9" s="1"/>
  <c r="L55" i="9" s="1"/>
  <c r="M55" i="9" s="1"/>
  <c r="N55" i="9" s="1"/>
  <c r="O55" i="9" s="1"/>
  <c r="P55" i="9" s="1"/>
  <c r="E56" i="9"/>
  <c r="F56" i="9" s="1"/>
  <c r="G56" i="9" s="1"/>
  <c r="H56" i="9" s="1"/>
  <c r="I56" i="9" s="1"/>
  <c r="J56" i="9" s="1"/>
  <c r="K56" i="9" s="1"/>
  <c r="L56" i="9" s="1"/>
  <c r="M56" i="9" s="1"/>
  <c r="N56" i="9" s="1"/>
  <c r="E57" i="9"/>
  <c r="F57" i="9" s="1"/>
  <c r="E58" i="9"/>
  <c r="F58" i="9" s="1"/>
  <c r="G58" i="9" s="1"/>
  <c r="H58" i="9" s="1"/>
  <c r="I58" i="9" s="1"/>
  <c r="J58" i="9" s="1"/>
  <c r="K58" i="9" s="1"/>
  <c r="L58" i="9" s="1"/>
  <c r="M58" i="9" s="1"/>
  <c r="N58" i="9" s="1"/>
  <c r="O58" i="9" s="1"/>
  <c r="P58" i="9" s="1"/>
  <c r="Q58" i="9" s="1"/>
  <c r="F58" i="13" s="1"/>
  <c r="E59" i="9"/>
  <c r="F59" i="9" s="1"/>
  <c r="L47" i="1"/>
  <c r="L48" i="1"/>
  <c r="L44" i="1"/>
  <c r="E51" i="11"/>
  <c r="E49" i="11"/>
  <c r="G21" i="14"/>
  <c r="F9" i="9"/>
  <c r="F10" i="9"/>
  <c r="F11" i="9"/>
  <c r="F12" i="9"/>
  <c r="F13" i="9"/>
  <c r="F14" i="9"/>
  <c r="F40" i="9"/>
  <c r="F43" i="9"/>
  <c r="G43" i="9" s="1"/>
  <c r="H43" i="9" s="1"/>
  <c r="I43" i="9" s="1"/>
  <c r="J43" i="9" s="1"/>
  <c r="K43" i="9" s="1"/>
  <c r="L43" i="9" s="1"/>
  <c r="M43" i="9" s="1"/>
  <c r="N43" i="9" s="1"/>
  <c r="O43" i="9" s="1"/>
  <c r="P43" i="9" s="1"/>
  <c r="F45" i="9"/>
  <c r="G45" i="9" s="1"/>
  <c r="H45" i="9" s="1"/>
  <c r="F48" i="9"/>
  <c r="G48" i="9" s="1"/>
  <c r="H48" i="9" s="1"/>
  <c r="I48" i="9" s="1"/>
  <c r="J48" i="9" s="1"/>
  <c r="K48" i="9" s="1"/>
  <c r="L48" i="9" s="1"/>
  <c r="M48" i="9" s="1"/>
  <c r="N48" i="9" s="1"/>
  <c r="G57" i="9"/>
  <c r="H57" i="9" s="1"/>
  <c r="I57" i="9" s="1"/>
  <c r="J57" i="9" s="1"/>
  <c r="K57" i="9" s="1"/>
  <c r="L57" i="9" s="1"/>
  <c r="F51" i="11"/>
  <c r="G9" i="9"/>
  <c r="G10" i="9"/>
  <c r="G11" i="9"/>
  <c r="G12" i="9"/>
  <c r="G13" i="9"/>
  <c r="G14" i="9"/>
  <c r="G40" i="9"/>
  <c r="H40" i="9" s="1"/>
  <c r="I40" i="9" s="1"/>
  <c r="J40" i="9" s="1"/>
  <c r="K40" i="9" s="1"/>
  <c r="E69" i="9"/>
  <c r="E50" i="8"/>
  <c r="E51" i="8"/>
  <c r="E49" i="8"/>
  <c r="E70" i="8"/>
  <c r="E71" i="8"/>
  <c r="E69" i="8"/>
  <c r="M75" i="8" s="1"/>
  <c r="K71" i="9" s="1"/>
  <c r="E90" i="8"/>
  <c r="E91" i="8"/>
  <c r="L104" i="8" s="1"/>
  <c r="E89" i="8"/>
  <c r="G51" i="11"/>
  <c r="H10" i="9"/>
  <c r="H11" i="9"/>
  <c r="H12" i="9"/>
  <c r="H13" i="9"/>
  <c r="H14" i="9"/>
  <c r="I44" i="9"/>
  <c r="J44" i="9" s="1"/>
  <c r="K44" i="9" s="1"/>
  <c r="L44" i="9" s="1"/>
  <c r="M44" i="9" s="1"/>
  <c r="N44" i="9" s="1"/>
  <c r="O44" i="9" s="1"/>
  <c r="P44" i="9" s="1"/>
  <c r="H51" i="11"/>
  <c r="I9" i="9"/>
  <c r="I10" i="9"/>
  <c r="I11" i="9"/>
  <c r="I12" i="9"/>
  <c r="I13" i="9"/>
  <c r="I14" i="9"/>
  <c r="I51" i="11"/>
  <c r="J9" i="9"/>
  <c r="J10" i="9"/>
  <c r="J11" i="9"/>
  <c r="J12" i="9"/>
  <c r="J13" i="9"/>
  <c r="J14" i="9"/>
  <c r="J51" i="11"/>
  <c r="K9" i="9"/>
  <c r="K10" i="9"/>
  <c r="K11" i="9"/>
  <c r="K12" i="9"/>
  <c r="K13" i="9"/>
  <c r="K14" i="9"/>
  <c r="N313" i="29"/>
  <c r="K15" i="9" s="1"/>
  <c r="K51" i="11"/>
  <c r="L9" i="9"/>
  <c r="L10" i="9"/>
  <c r="L11" i="9"/>
  <c r="L12" i="9"/>
  <c r="L13" i="9"/>
  <c r="L14" i="9"/>
  <c r="L51" i="11"/>
  <c r="M9" i="9"/>
  <c r="M10" i="9"/>
  <c r="M11" i="9"/>
  <c r="M12" i="9"/>
  <c r="M13" i="9"/>
  <c r="M14" i="9"/>
  <c r="M51" i="11"/>
  <c r="N9" i="9"/>
  <c r="N10" i="9"/>
  <c r="N11" i="9"/>
  <c r="N12" i="9"/>
  <c r="N13" i="9"/>
  <c r="N14" i="9"/>
  <c r="N51" i="11"/>
  <c r="O9" i="9"/>
  <c r="O10" i="9"/>
  <c r="O11" i="9"/>
  <c r="O12" i="9"/>
  <c r="O13" i="9"/>
  <c r="O14" i="9"/>
  <c r="O51" i="11"/>
  <c r="P9" i="9"/>
  <c r="P10" i="9"/>
  <c r="P11" i="9"/>
  <c r="P12" i="9"/>
  <c r="P13" i="9"/>
  <c r="P14" i="9"/>
  <c r="P51" i="11"/>
  <c r="E13" i="18"/>
  <c r="E14" i="18"/>
  <c r="E19" i="19"/>
  <c r="E20" i="19"/>
  <c r="P8" i="6"/>
  <c r="G49" i="28"/>
  <c r="H49" i="28" s="1"/>
  <c r="O21" i="6"/>
  <c r="I11" i="7"/>
  <c r="J11" i="7" s="1"/>
  <c r="I12" i="7"/>
  <c r="J12" i="7" s="1"/>
  <c r="K12" i="7" s="1"/>
  <c r="I13" i="7"/>
  <c r="J13" i="7" s="1"/>
  <c r="K13" i="7" s="1"/>
  <c r="I14" i="7"/>
  <c r="I15" i="7"/>
  <c r="J15" i="7" s="1"/>
  <c r="K15" i="7" s="1"/>
  <c r="I16" i="7"/>
  <c r="J16" i="7" s="1"/>
  <c r="K16" i="7" s="1"/>
  <c r="I17" i="7"/>
  <c r="J17" i="7" s="1"/>
  <c r="K17" i="7" s="1"/>
  <c r="I18" i="7"/>
  <c r="J18" i="7" s="1"/>
  <c r="K18" i="7" s="1"/>
  <c r="I19" i="7"/>
  <c r="J19" i="7" s="1"/>
  <c r="K19" i="7" s="1"/>
  <c r="I20" i="7"/>
  <c r="J20" i="7" s="1"/>
  <c r="K20" i="7" s="1"/>
  <c r="I21" i="7"/>
  <c r="J21" i="7" s="1"/>
  <c r="K21" i="7" s="1"/>
  <c r="I22" i="7"/>
  <c r="I23" i="7"/>
  <c r="J23" i="7" s="1"/>
  <c r="K23" i="7" s="1"/>
  <c r="I25" i="7"/>
  <c r="J25" i="7" s="1"/>
  <c r="K25" i="7" s="1"/>
  <c r="I26" i="7"/>
  <c r="I27" i="7"/>
  <c r="J27" i="7" s="1"/>
  <c r="K27" i="7" s="1"/>
  <c r="I28" i="7"/>
  <c r="J28" i="7" s="1"/>
  <c r="K28" i="7" s="1"/>
  <c r="I29" i="7"/>
  <c r="J29" i="7" s="1"/>
  <c r="K29" i="7" s="1"/>
  <c r="I30" i="7"/>
  <c r="J30" i="7" s="1"/>
  <c r="K30" i="7" s="1"/>
  <c r="F14" i="18"/>
  <c r="F51" i="19"/>
  <c r="G51" i="19"/>
  <c r="H51" i="19"/>
  <c r="I51" i="19"/>
  <c r="J51" i="19"/>
  <c r="K51" i="19"/>
  <c r="L51" i="19"/>
  <c r="M51" i="19"/>
  <c r="N51" i="19"/>
  <c r="O51" i="19"/>
  <c r="P51" i="19"/>
  <c r="E14" i="21"/>
  <c r="E19" i="22"/>
  <c r="E20" i="22"/>
  <c r="E51" i="22" s="1"/>
  <c r="Q8" i="6"/>
  <c r="F51" i="22"/>
  <c r="G51" i="22"/>
  <c r="H51" i="22"/>
  <c r="I51" i="22"/>
  <c r="J51" i="22"/>
  <c r="K51" i="22"/>
  <c r="L51" i="22"/>
  <c r="M51" i="22"/>
  <c r="N51" i="22"/>
  <c r="O51" i="22"/>
  <c r="E29" i="1"/>
  <c r="O1" i="1"/>
  <c r="E15" i="1"/>
  <c r="G15" i="1"/>
  <c r="H15" i="1"/>
  <c r="T1" i="6"/>
  <c r="Q1" i="7"/>
  <c r="I24" i="7"/>
  <c r="G31" i="7"/>
  <c r="C37" i="7"/>
  <c r="C39" i="7"/>
  <c r="C40" i="7"/>
  <c r="C41" i="7"/>
  <c r="T1" i="3"/>
  <c r="B12" i="9"/>
  <c r="B22" i="9" s="1"/>
  <c r="B22" i="13" s="1"/>
  <c r="E129" i="3"/>
  <c r="H3" i="29"/>
  <c r="I3" i="29"/>
  <c r="J3" i="29"/>
  <c r="K3" i="29"/>
  <c r="L3" i="29"/>
  <c r="M3" i="29"/>
  <c r="N3" i="29"/>
  <c r="O3" i="29"/>
  <c r="P3" i="29"/>
  <c r="Q3" i="29"/>
  <c r="R3" i="29"/>
  <c r="S3" i="29"/>
  <c r="T3" i="29"/>
  <c r="F304" i="29"/>
  <c r="E305" i="29"/>
  <c r="F305" i="29"/>
  <c r="T307" i="29"/>
  <c r="T308" i="29"/>
  <c r="H309" i="29"/>
  <c r="I309" i="29" s="1"/>
  <c r="J309" i="29" s="1"/>
  <c r="Q1" i="14"/>
  <c r="G11" i="14"/>
  <c r="G18" i="14"/>
  <c r="F15" i="16"/>
  <c r="C18" i="16"/>
  <c r="C19" i="16"/>
  <c r="C20" i="16"/>
  <c r="C21" i="16"/>
  <c r="C22" i="16"/>
  <c r="C23" i="16"/>
  <c r="C24" i="16"/>
  <c r="F25" i="16"/>
  <c r="F39" i="16"/>
  <c r="F45" i="16"/>
  <c r="E6" i="9"/>
  <c r="F6" i="9"/>
  <c r="G6" i="9"/>
  <c r="H6" i="9"/>
  <c r="I6" i="9"/>
  <c r="J6" i="9"/>
  <c r="K6" i="9"/>
  <c r="L6" i="9"/>
  <c r="M6" i="9"/>
  <c r="N6" i="9"/>
  <c r="O6" i="9"/>
  <c r="P6" i="9"/>
  <c r="B25" i="9"/>
  <c r="A30" i="9"/>
  <c r="A30" i="13" s="1"/>
  <c r="B31" i="9"/>
  <c r="B31" i="13" s="1"/>
  <c r="B32" i="9"/>
  <c r="B32" i="13" s="1"/>
  <c r="B33" i="9"/>
  <c r="B34" i="9"/>
  <c r="B34" i="13" s="1"/>
  <c r="B35" i="9"/>
  <c r="B35" i="13" s="1"/>
  <c r="B36" i="9"/>
  <c r="B36" i="13" s="1"/>
  <c r="B40" i="9"/>
  <c r="B40" i="13" s="1"/>
  <c r="B41" i="9"/>
  <c r="B41" i="13" s="1"/>
  <c r="B42" i="9"/>
  <c r="B42" i="13" s="1"/>
  <c r="B43" i="9"/>
  <c r="B44" i="9"/>
  <c r="B44" i="13" s="1"/>
  <c r="B45" i="9"/>
  <c r="B45" i="13" s="1"/>
  <c r="B46" i="9"/>
  <c r="B46" i="13" s="1"/>
  <c r="B47" i="9"/>
  <c r="B48" i="9"/>
  <c r="B48" i="13" s="1"/>
  <c r="B49" i="9"/>
  <c r="B49" i="13" s="1"/>
  <c r="B50" i="9"/>
  <c r="B50" i="13" s="1"/>
  <c r="B51" i="9"/>
  <c r="B52" i="9"/>
  <c r="B53" i="9"/>
  <c r="B53" i="13" s="1"/>
  <c r="B54" i="9"/>
  <c r="B54" i="13" s="1"/>
  <c r="B55" i="9"/>
  <c r="B55" i="13"/>
  <c r="B56" i="9"/>
  <c r="B56" i="13" s="1"/>
  <c r="B57" i="9"/>
  <c r="B58" i="9"/>
  <c r="B59" i="9"/>
  <c r="C68" i="9"/>
  <c r="C71" i="13" s="1"/>
  <c r="C70" i="9"/>
  <c r="C71" i="9"/>
  <c r="C72" i="9"/>
  <c r="E6" i="11"/>
  <c r="F6" i="11"/>
  <c r="C87" i="27" s="1"/>
  <c r="G6" i="11"/>
  <c r="D87" i="27" s="1"/>
  <c r="H6" i="11"/>
  <c r="E87" i="27" s="1"/>
  <c r="I6" i="11"/>
  <c r="F87" i="27" s="1"/>
  <c r="J6" i="11"/>
  <c r="G87" i="27" s="1"/>
  <c r="K6" i="11"/>
  <c r="H87" i="27" s="1"/>
  <c r="L6" i="11"/>
  <c r="I87" i="27" s="1"/>
  <c r="M6" i="11"/>
  <c r="N6" i="11"/>
  <c r="K87" i="27" s="1"/>
  <c r="O6" i="11"/>
  <c r="L87" i="27" s="1"/>
  <c r="P6" i="11"/>
  <c r="Q13" i="11"/>
  <c r="Q19" i="11"/>
  <c r="Q20" i="11"/>
  <c r="C24" i="11"/>
  <c r="Q26" i="11"/>
  <c r="Q30" i="11"/>
  <c r="F9" i="12"/>
  <c r="F10" i="12"/>
  <c r="F12" i="12"/>
  <c r="C16" i="12"/>
  <c r="F16" i="12"/>
  <c r="I16" i="12" s="1"/>
  <c r="F16" i="20" s="1"/>
  <c r="I16" i="20" s="1"/>
  <c r="F16" i="23" s="1"/>
  <c r="I16" i="23" s="1"/>
  <c r="C17" i="12"/>
  <c r="F17" i="12"/>
  <c r="I17" i="12" s="1"/>
  <c r="F17" i="20" s="1"/>
  <c r="I17" i="20" s="1"/>
  <c r="F17" i="23" s="1"/>
  <c r="I17" i="23" s="1"/>
  <c r="C18" i="12"/>
  <c r="F18" i="12"/>
  <c r="I18" i="12" s="1"/>
  <c r="C19" i="12"/>
  <c r="F19" i="12"/>
  <c r="I19" i="12" s="1"/>
  <c r="F19" i="20" s="1"/>
  <c r="I19" i="20" s="1"/>
  <c r="F19" i="23" s="1"/>
  <c r="I19" i="23" s="1"/>
  <c r="C20" i="12"/>
  <c r="F20" i="12"/>
  <c r="I20" i="12" s="1"/>
  <c r="F20" i="20" s="1"/>
  <c r="I20" i="20" s="1"/>
  <c r="F20" i="23" s="1"/>
  <c r="I20" i="23" s="1"/>
  <c r="C21" i="12"/>
  <c r="F21" i="12"/>
  <c r="I21" i="12" s="1"/>
  <c r="F21" i="20" s="1"/>
  <c r="I21" i="20" s="1"/>
  <c r="C22" i="12"/>
  <c r="F22" i="12"/>
  <c r="F24" i="12"/>
  <c r="F30" i="12"/>
  <c r="C31" i="12"/>
  <c r="C32" i="12"/>
  <c r="C33" i="12"/>
  <c r="F33" i="12"/>
  <c r="C34" i="12"/>
  <c r="F34" i="12"/>
  <c r="C35" i="12"/>
  <c r="F35" i="12"/>
  <c r="F36" i="12"/>
  <c r="F40" i="12"/>
  <c r="I40" i="12" s="1"/>
  <c r="F40" i="20" s="1"/>
  <c r="I40" i="20" s="1"/>
  <c r="F40" i="23" s="1"/>
  <c r="I40" i="23" s="1"/>
  <c r="F41" i="12"/>
  <c r="I41" i="12" s="1"/>
  <c r="F41" i="20" s="1"/>
  <c r="F42" i="12"/>
  <c r="F43" i="12"/>
  <c r="I43" i="12"/>
  <c r="F43" i="20" s="1"/>
  <c r="I43" i="20" s="1"/>
  <c r="F43" i="23" s="1"/>
  <c r="I43" i="23" s="1"/>
  <c r="Q30" i="19"/>
  <c r="Q30" i="22"/>
  <c r="A8" i="13"/>
  <c r="B15" i="13"/>
  <c r="A16" i="13"/>
  <c r="A18" i="13"/>
  <c r="B25" i="13"/>
  <c r="A26" i="13"/>
  <c r="A28" i="13"/>
  <c r="B33" i="13"/>
  <c r="A37" i="13"/>
  <c r="A39" i="13"/>
  <c r="B43" i="13"/>
  <c r="B47" i="13"/>
  <c r="B51" i="13"/>
  <c r="B52" i="13"/>
  <c r="B57" i="13"/>
  <c r="B58" i="13"/>
  <c r="B59" i="13"/>
  <c r="A60" i="13"/>
  <c r="A66" i="13"/>
  <c r="B68" i="13"/>
  <c r="B69" i="13"/>
  <c r="C70" i="13"/>
  <c r="C72" i="13"/>
  <c r="J72" i="13"/>
  <c r="B76" i="13"/>
  <c r="A77" i="13"/>
  <c r="A79" i="13"/>
  <c r="E6" i="18"/>
  <c r="F6" i="18"/>
  <c r="G6" i="18"/>
  <c r="H6" i="18"/>
  <c r="I6" i="18"/>
  <c r="J6" i="18"/>
  <c r="K6" i="18"/>
  <c r="L6" i="18"/>
  <c r="M6" i="18"/>
  <c r="N6" i="18"/>
  <c r="O6" i="18"/>
  <c r="P6" i="18"/>
  <c r="B15" i="18"/>
  <c r="B25" i="18" s="1"/>
  <c r="A30" i="18"/>
  <c r="B31" i="18"/>
  <c r="B32" i="18"/>
  <c r="B33" i="18"/>
  <c r="B34" i="18"/>
  <c r="B35" i="18"/>
  <c r="B36" i="18"/>
  <c r="B40" i="18"/>
  <c r="B41" i="18"/>
  <c r="B42" i="18"/>
  <c r="B43" i="18"/>
  <c r="B44" i="18"/>
  <c r="B45" i="18"/>
  <c r="B46" i="18"/>
  <c r="B47" i="18"/>
  <c r="B48" i="18"/>
  <c r="B49" i="18"/>
  <c r="B50" i="18"/>
  <c r="B51" i="18"/>
  <c r="B52" i="18"/>
  <c r="B53" i="18"/>
  <c r="B54" i="18"/>
  <c r="B55" i="18"/>
  <c r="B56" i="18"/>
  <c r="B57" i="18"/>
  <c r="B58" i="18"/>
  <c r="B59" i="18"/>
  <c r="C68" i="18"/>
  <c r="C70" i="18"/>
  <c r="C71" i="18"/>
  <c r="C72" i="18"/>
  <c r="F89" i="18"/>
  <c r="G89" i="18" s="1"/>
  <c r="H89" i="18" s="1"/>
  <c r="I89" i="18" s="1"/>
  <c r="J89" i="18" s="1"/>
  <c r="K89" i="18" s="1"/>
  <c r="L89" i="18" s="1"/>
  <c r="M89" i="18" s="1"/>
  <c r="N89" i="18" s="1"/>
  <c r="O89" i="18" s="1"/>
  <c r="P89" i="18" s="1"/>
  <c r="E6" i="19"/>
  <c r="F6" i="19"/>
  <c r="G6" i="19"/>
  <c r="H6" i="19"/>
  <c r="I6" i="19"/>
  <c r="J6" i="19"/>
  <c r="K6" i="19"/>
  <c r="L6" i="19"/>
  <c r="M6" i="19"/>
  <c r="N6" i="19"/>
  <c r="O6" i="19"/>
  <c r="P6" i="19"/>
  <c r="Q13" i="19"/>
  <c r="Q19" i="19"/>
  <c r="C24" i="19"/>
  <c r="Q26" i="19"/>
  <c r="Q29" i="19"/>
  <c r="C16" i="20"/>
  <c r="C17" i="20"/>
  <c r="C18" i="20"/>
  <c r="C19" i="20"/>
  <c r="C20" i="20"/>
  <c r="C21" i="20"/>
  <c r="C22" i="20"/>
  <c r="C32" i="20"/>
  <c r="C33" i="20"/>
  <c r="C34" i="20"/>
  <c r="C35" i="20"/>
  <c r="C40" i="20"/>
  <c r="C40" i="23" s="1"/>
  <c r="C41" i="20"/>
  <c r="C41" i="23" s="1"/>
  <c r="E6" i="21"/>
  <c r="F6" i="21"/>
  <c r="G6" i="21"/>
  <c r="H6" i="21"/>
  <c r="I6" i="21"/>
  <c r="J6" i="21"/>
  <c r="K6" i="21"/>
  <c r="L6" i="21"/>
  <c r="M6" i="21"/>
  <c r="N6" i="21"/>
  <c r="O6" i="21"/>
  <c r="P6" i="21"/>
  <c r="A30" i="21"/>
  <c r="B31" i="21"/>
  <c r="B32" i="21"/>
  <c r="B33" i="21"/>
  <c r="B34" i="21"/>
  <c r="B35" i="21"/>
  <c r="B36" i="21"/>
  <c r="B40" i="21"/>
  <c r="B41" i="21"/>
  <c r="B42" i="21"/>
  <c r="B43" i="21"/>
  <c r="B44" i="21"/>
  <c r="B45" i="21"/>
  <c r="B46" i="21"/>
  <c r="B47" i="21"/>
  <c r="B48" i="21"/>
  <c r="B49" i="21"/>
  <c r="B50" i="21"/>
  <c r="B51" i="21"/>
  <c r="B52" i="21"/>
  <c r="B53" i="21"/>
  <c r="B54" i="21"/>
  <c r="B55" i="21"/>
  <c r="B56" i="21"/>
  <c r="B57" i="21"/>
  <c r="B58" i="21"/>
  <c r="B59" i="21"/>
  <c r="C68" i="21"/>
  <c r="C70" i="21"/>
  <c r="C71" i="21"/>
  <c r="C72" i="21"/>
  <c r="E6" i="22"/>
  <c r="F6" i="22"/>
  <c r="G6" i="22"/>
  <c r="H6" i="22"/>
  <c r="I6" i="22"/>
  <c r="J6" i="22"/>
  <c r="K6" i="22"/>
  <c r="L6" i="22"/>
  <c r="M6" i="22"/>
  <c r="N6" i="22"/>
  <c r="O6" i="22"/>
  <c r="P6" i="22"/>
  <c r="Q13" i="22"/>
  <c r="Q19" i="22"/>
  <c r="C24" i="22"/>
  <c r="Q26" i="22"/>
  <c r="Q29" i="22"/>
  <c r="P51" i="22"/>
  <c r="C16" i="23"/>
  <c r="C17" i="23"/>
  <c r="C18" i="23"/>
  <c r="C19" i="23"/>
  <c r="C20" i="23"/>
  <c r="C21" i="23"/>
  <c r="C22" i="23"/>
  <c r="C32" i="23"/>
  <c r="C33" i="23"/>
  <c r="C34" i="23"/>
  <c r="C35" i="23"/>
  <c r="G6" i="8"/>
  <c r="H6" i="8"/>
  <c r="I6" i="8"/>
  <c r="J6" i="8"/>
  <c r="K6" i="8"/>
  <c r="L6" i="8"/>
  <c r="M6" i="8"/>
  <c r="N6" i="8"/>
  <c r="O6" i="8"/>
  <c r="P6" i="8"/>
  <c r="Q6" i="8"/>
  <c r="R6" i="8"/>
  <c r="G17" i="26"/>
  <c r="I17" i="26"/>
  <c r="G18" i="26"/>
  <c r="I18" i="26" s="1"/>
  <c r="G20" i="26"/>
  <c r="I20" i="26" s="1"/>
  <c r="G21" i="26"/>
  <c r="I21" i="26" s="1"/>
  <c r="B87" i="27"/>
  <c r="N87" i="27" s="1"/>
  <c r="O87" i="27" s="1"/>
  <c r="P87" i="27" s="1"/>
  <c r="Q87" i="27" s="1"/>
  <c r="R87" i="27" s="1"/>
  <c r="S87" i="27" s="1"/>
  <c r="T87" i="27" s="1"/>
  <c r="U87" i="27" s="1"/>
  <c r="V87" i="27" s="1"/>
  <c r="W87" i="27" s="1"/>
  <c r="X87" i="27" s="1"/>
  <c r="Y87" i="27" s="1"/>
  <c r="Z87" i="27" s="1"/>
  <c r="AA87" i="27" s="1"/>
  <c r="AB87" i="27" s="1"/>
  <c r="AC87" i="27" s="1"/>
  <c r="AD87" i="27" s="1"/>
  <c r="AE87" i="27" s="1"/>
  <c r="AF87" i="27" s="1"/>
  <c r="AG87" i="27" s="1"/>
  <c r="AH87" i="27" s="1"/>
  <c r="AI87" i="27" s="1"/>
  <c r="AJ87" i="27" s="1"/>
  <c r="AK87" i="27" s="1"/>
  <c r="J87" i="27"/>
  <c r="M87" i="27"/>
  <c r="F29" i="16"/>
  <c r="C23" i="11"/>
  <c r="P76" i="8"/>
  <c r="I22" i="12"/>
  <c r="F22" i="20" s="1"/>
  <c r="I22" i="20" s="1"/>
  <c r="F22" i="23" s="1"/>
  <c r="I22" i="23" s="1"/>
  <c r="N76" i="8"/>
  <c r="Q75" i="8"/>
  <c r="O71" i="9" s="1"/>
  <c r="O76" i="8"/>
  <c r="H56" i="8"/>
  <c r="Q20" i="19"/>
  <c r="E51" i="19"/>
  <c r="I55" i="8"/>
  <c r="E41" i="31"/>
  <c r="E154" i="29" s="1"/>
  <c r="F32" i="12"/>
  <c r="H146" i="3"/>
  <c r="J146" i="3"/>
  <c r="N146" i="3"/>
  <c r="R146" i="3"/>
  <c r="K146" i="3"/>
  <c r="O146" i="3"/>
  <c r="S146" i="3"/>
  <c r="E11" i="31"/>
  <c r="E32" i="3" s="1"/>
  <c r="G20" i="9" s="1"/>
  <c r="L146" i="3"/>
  <c r="P146" i="3"/>
  <c r="I146" i="3"/>
  <c r="M146" i="3"/>
  <c r="Q146" i="3"/>
  <c r="P13" i="3"/>
  <c r="S13" i="3"/>
  <c r="Q13" i="3"/>
  <c r="N13" i="3"/>
  <c r="E19" i="3"/>
  <c r="J142" i="3"/>
  <c r="E42" i="1"/>
  <c r="H21" i="31"/>
  <c r="E7" i="29" s="1"/>
  <c r="H18" i="29" s="1"/>
  <c r="R349" i="29"/>
  <c r="H350" i="29"/>
  <c r="F134" i="29"/>
  <c r="M158" i="3"/>
  <c r="J158" i="3"/>
  <c r="K13" i="3"/>
  <c r="O13" i="3"/>
  <c r="N150" i="3"/>
  <c r="K162" i="3"/>
  <c r="L158" i="3"/>
  <c r="S158" i="3"/>
  <c r="L150" i="3"/>
  <c r="H150" i="3"/>
  <c r="F14" i="21"/>
  <c r="H11" i="31"/>
  <c r="E54" i="3" s="1"/>
  <c r="H21" i="9" s="1"/>
  <c r="G14" i="21"/>
  <c r="H14" i="21"/>
  <c r="I14" i="21"/>
  <c r="J14" i="21"/>
  <c r="K14" i="21"/>
  <c r="L14" i="21"/>
  <c r="M14" i="21"/>
  <c r="N14" i="21"/>
  <c r="O14" i="21"/>
  <c r="P14" i="21"/>
  <c r="E10" i="18"/>
  <c r="H338" i="29"/>
  <c r="H346" i="29"/>
  <c r="P345" i="29"/>
  <c r="L345" i="29"/>
  <c r="S345" i="29"/>
  <c r="O345" i="29"/>
  <c r="K345" i="29"/>
  <c r="R345" i="29"/>
  <c r="N345" i="29"/>
  <c r="J345" i="29"/>
  <c r="Q345" i="29"/>
  <c r="M345" i="29"/>
  <c r="I345" i="29"/>
  <c r="O361" i="29"/>
  <c r="K361" i="29"/>
  <c r="R361" i="29"/>
  <c r="J361" i="29"/>
  <c r="Q361" i="29"/>
  <c r="M361" i="29"/>
  <c r="H362" i="29"/>
  <c r="P361" i="29"/>
  <c r="L361" i="29"/>
  <c r="S377" i="29"/>
  <c r="O377" i="29"/>
  <c r="K377" i="29"/>
  <c r="R377" i="29"/>
  <c r="N377" i="29"/>
  <c r="J377" i="29"/>
  <c r="Q377" i="29"/>
  <c r="M377" i="29"/>
  <c r="I377" i="29"/>
  <c r="H378" i="29"/>
  <c r="P377" i="29"/>
  <c r="L377" i="29"/>
  <c r="H329" i="29"/>
  <c r="H345" i="29"/>
  <c r="I325" i="29"/>
  <c r="M325" i="29"/>
  <c r="Q325" i="29"/>
  <c r="J329" i="29"/>
  <c r="N329" i="29"/>
  <c r="R329" i="29"/>
  <c r="J330" i="29"/>
  <c r="N330" i="29"/>
  <c r="R330" i="29"/>
  <c r="K333" i="29"/>
  <c r="O333" i="29"/>
  <c r="S333" i="29"/>
  <c r="L337" i="29"/>
  <c r="P337" i="29"/>
  <c r="K21" i="31"/>
  <c r="E28" i="29" s="1"/>
  <c r="S341" i="29"/>
  <c r="O341" i="29"/>
  <c r="K341" i="29"/>
  <c r="R341" i="29"/>
  <c r="N341" i="29"/>
  <c r="J341" i="29"/>
  <c r="Q341" i="29"/>
  <c r="M341" i="29"/>
  <c r="I341" i="29"/>
  <c r="P341" i="29"/>
  <c r="L341" i="29"/>
  <c r="R357" i="29"/>
  <c r="N357" i="29"/>
  <c r="J357" i="29"/>
  <c r="Q357" i="29"/>
  <c r="M357" i="29"/>
  <c r="I357" i="29"/>
  <c r="H358" i="29"/>
  <c r="P357" i="29"/>
  <c r="L357" i="29"/>
  <c r="S357" i="29"/>
  <c r="O357" i="29"/>
  <c r="K357" i="29"/>
  <c r="E51" i="31"/>
  <c r="E238" i="29" s="1"/>
  <c r="R373" i="29"/>
  <c r="N373" i="29"/>
  <c r="J373" i="29"/>
  <c r="Q373" i="29"/>
  <c r="M373" i="29"/>
  <c r="I373" i="29"/>
  <c r="H374" i="29"/>
  <c r="P373" i="29"/>
  <c r="L373" i="29"/>
  <c r="S373" i="29"/>
  <c r="O373" i="29"/>
  <c r="K373" i="29"/>
  <c r="H333" i="29"/>
  <c r="J325" i="29"/>
  <c r="N325" i="29"/>
  <c r="R325" i="29"/>
  <c r="K329" i="29"/>
  <c r="O329" i="29"/>
  <c r="S329" i="29"/>
  <c r="K330" i="29"/>
  <c r="O330" i="29"/>
  <c r="S330" i="29"/>
  <c r="L333" i="29"/>
  <c r="P333" i="29"/>
  <c r="I337" i="29"/>
  <c r="M337" i="29"/>
  <c r="Q337" i="29"/>
  <c r="Q353" i="29"/>
  <c r="M353" i="29"/>
  <c r="I353" i="29"/>
  <c r="H354" i="29"/>
  <c r="P353" i="29"/>
  <c r="L353" i="29"/>
  <c r="S353" i="29"/>
  <c r="O353" i="29"/>
  <c r="K353" i="29"/>
  <c r="R353" i="29"/>
  <c r="N353" i="29"/>
  <c r="J353" i="29"/>
  <c r="Q369" i="29"/>
  <c r="I369" i="29"/>
  <c r="P369" i="29"/>
  <c r="L369" i="29"/>
  <c r="O369" i="29"/>
  <c r="K369" i="29"/>
  <c r="R369" i="29"/>
  <c r="J369" i="29"/>
  <c r="L329" i="29"/>
  <c r="P329" i="29"/>
  <c r="H330" i="29"/>
  <c r="L330" i="29"/>
  <c r="P330" i="29"/>
  <c r="H366" i="29"/>
  <c r="P365" i="29"/>
  <c r="L365" i="29"/>
  <c r="S365" i="29"/>
  <c r="O365" i="29"/>
  <c r="K365" i="29"/>
  <c r="R365" i="29"/>
  <c r="N365" i="29"/>
  <c r="J365" i="29"/>
  <c r="Q365" i="29"/>
  <c r="M365" i="29"/>
  <c r="I365" i="29"/>
  <c r="L325" i="29"/>
  <c r="P325" i="29"/>
  <c r="I329" i="29"/>
  <c r="M329" i="29"/>
  <c r="Q329" i="29"/>
  <c r="I330" i="29"/>
  <c r="M330" i="29"/>
  <c r="J333" i="29"/>
  <c r="N333" i="29"/>
  <c r="R333" i="29"/>
  <c r="K337" i="29"/>
  <c r="O337" i="29"/>
  <c r="S337" i="29"/>
  <c r="E58" i="21"/>
  <c r="F58" i="21" s="1"/>
  <c r="G58" i="21" s="1"/>
  <c r="H58" i="21" s="1"/>
  <c r="I58" i="21" s="1"/>
  <c r="J58" i="21" s="1"/>
  <c r="K58" i="21" s="1"/>
  <c r="L58" i="21" s="1"/>
  <c r="M58" i="21" s="1"/>
  <c r="N58" i="21" s="1"/>
  <c r="O58" i="21" s="1"/>
  <c r="P58" i="21" s="1"/>
  <c r="E58" i="18"/>
  <c r="F58" i="18" s="1"/>
  <c r="G58" i="18" s="1"/>
  <c r="H58" i="18" s="1"/>
  <c r="I58" i="18" s="1"/>
  <c r="J58" i="18" s="1"/>
  <c r="K58" i="18" s="1"/>
  <c r="L58" i="18" s="1"/>
  <c r="M58" i="18" s="1"/>
  <c r="N58" i="18" s="1"/>
  <c r="O58" i="18" s="1"/>
  <c r="P58" i="18" s="1"/>
  <c r="S35" i="3"/>
  <c r="Q44" i="9"/>
  <c r="F44" i="13" s="1"/>
  <c r="E54" i="18"/>
  <c r="F54" i="18" s="1"/>
  <c r="G54" i="18" s="1"/>
  <c r="H54" i="18" s="1"/>
  <c r="I54" i="18" s="1"/>
  <c r="J54" i="18" s="1"/>
  <c r="K54" i="18" s="1"/>
  <c r="L54" i="18" s="1"/>
  <c r="M54" i="18" s="1"/>
  <c r="N54" i="18" s="1"/>
  <c r="O54" i="18" s="1"/>
  <c r="P54" i="18" s="1"/>
  <c r="E54" i="21"/>
  <c r="F54" i="21" s="1"/>
  <c r="G54" i="21" s="1"/>
  <c r="H54" i="21" s="1"/>
  <c r="I54" i="21" s="1"/>
  <c r="J54" i="21" s="1"/>
  <c r="K54" i="21" s="1"/>
  <c r="L54" i="21" s="1"/>
  <c r="M54" i="21" s="1"/>
  <c r="N54" i="21" s="1"/>
  <c r="O54" i="21" s="1"/>
  <c r="P54" i="21" s="1"/>
  <c r="E42" i="18"/>
  <c r="F42" i="18" s="1"/>
  <c r="G42" i="18" s="1"/>
  <c r="H42" i="18" s="1"/>
  <c r="I42" i="18" s="1"/>
  <c r="J42" i="18" s="1"/>
  <c r="K42" i="18" s="1"/>
  <c r="L42" i="18" s="1"/>
  <c r="M42" i="18" s="1"/>
  <c r="N42" i="18" s="1"/>
  <c r="O42" i="18" s="1"/>
  <c r="E46" i="21"/>
  <c r="F46" i="21" s="1"/>
  <c r="G46" i="21" s="1"/>
  <c r="H46" i="21" s="1"/>
  <c r="I46" i="21" s="1"/>
  <c r="J46" i="21" s="1"/>
  <c r="K46" i="21" s="1"/>
  <c r="L46" i="21" s="1"/>
  <c r="M46" i="21" s="1"/>
  <c r="E42" i="21"/>
  <c r="F42" i="21" s="1"/>
  <c r="G42" i="21" s="1"/>
  <c r="H42" i="21" s="1"/>
  <c r="H96" i="8"/>
  <c r="H82" i="29"/>
  <c r="P313" i="29"/>
  <c r="M15" i="9" s="1"/>
  <c r="T121" i="29"/>
  <c r="T184" i="29"/>
  <c r="H229" i="29"/>
  <c r="H208" i="29"/>
  <c r="H250" i="29"/>
  <c r="T289" i="29"/>
  <c r="N337" i="29"/>
  <c r="E31" i="31"/>
  <c r="E70" i="29" s="1"/>
  <c r="J337" i="29"/>
  <c r="H337" i="29"/>
  <c r="T247" i="29"/>
  <c r="T123" i="3"/>
  <c r="H373" i="29"/>
  <c r="S325" i="29"/>
  <c r="M333" i="29"/>
  <c r="B31" i="31"/>
  <c r="E49" i="29" s="1"/>
  <c r="E50" i="29" s="1"/>
  <c r="Q333" i="29"/>
  <c r="H292" i="29"/>
  <c r="H325" i="29"/>
  <c r="J285" i="29"/>
  <c r="I378" i="29"/>
  <c r="I243" i="29"/>
  <c r="J243" i="29" s="1"/>
  <c r="J201" i="29"/>
  <c r="J362" i="29" s="1"/>
  <c r="I362" i="29"/>
  <c r="J138" i="29"/>
  <c r="I96" i="29"/>
  <c r="H342" i="29"/>
  <c r="H334" i="29"/>
  <c r="I54" i="29"/>
  <c r="H326" i="29"/>
  <c r="H20" i="29"/>
  <c r="I163" i="3"/>
  <c r="K201" i="29"/>
  <c r="K362" i="29" s="1"/>
  <c r="K138" i="29"/>
  <c r="L138" i="29" s="1"/>
  <c r="M138" i="29" s="1"/>
  <c r="N138" i="29" s="1"/>
  <c r="J54" i="29"/>
  <c r="K54" i="29" s="1"/>
  <c r="I229" i="29"/>
  <c r="J222" i="29"/>
  <c r="I366" i="29"/>
  <c r="E226" i="29"/>
  <c r="S220" i="29"/>
  <c r="T220" i="29" s="1"/>
  <c r="T226" i="29"/>
  <c r="H365" i="29"/>
  <c r="I18" i="29"/>
  <c r="M18" i="29"/>
  <c r="Q18" i="29"/>
  <c r="J18" i="29"/>
  <c r="N18" i="29"/>
  <c r="R18" i="29"/>
  <c r="T16" i="29"/>
  <c r="K18" i="29"/>
  <c r="O18" i="29"/>
  <c r="S18" i="29"/>
  <c r="H21" i="29"/>
  <c r="L18" i="29"/>
  <c r="S10" i="29"/>
  <c r="H10" i="29"/>
  <c r="F7" i="29"/>
  <c r="O59" i="29"/>
  <c r="E269" i="29"/>
  <c r="N269" i="29"/>
  <c r="H269" i="29"/>
  <c r="M269" i="29"/>
  <c r="P269" i="29"/>
  <c r="K269" i="29"/>
  <c r="E260" i="29"/>
  <c r="O269" i="29"/>
  <c r="L269" i="29"/>
  <c r="Q269" i="29"/>
  <c r="S269" i="29"/>
  <c r="R269" i="29"/>
  <c r="I269" i="29"/>
  <c r="H272" i="29"/>
  <c r="J269" i="29"/>
  <c r="F218" i="29"/>
  <c r="H59" i="29"/>
  <c r="N59" i="29"/>
  <c r="M59" i="29"/>
  <c r="E59" i="29"/>
  <c r="H62" i="29"/>
  <c r="J59" i="29"/>
  <c r="L59" i="29"/>
  <c r="R59" i="29"/>
  <c r="K59" i="29"/>
  <c r="I59" i="29"/>
  <c r="E113" i="29"/>
  <c r="M122" i="29"/>
  <c r="P122" i="29"/>
  <c r="E122" i="29"/>
  <c r="H122" i="29"/>
  <c r="I122" i="29"/>
  <c r="L122" i="29"/>
  <c r="O122" i="29"/>
  <c r="J122" i="29"/>
  <c r="N122" i="29"/>
  <c r="K122" i="29"/>
  <c r="T122" i="29" s="1"/>
  <c r="R122" i="29"/>
  <c r="Q122" i="29"/>
  <c r="S122" i="29"/>
  <c r="H125" i="29"/>
  <c r="Q59" i="29"/>
  <c r="S59" i="29"/>
  <c r="J17" i="29"/>
  <c r="H17" i="29"/>
  <c r="O17" i="29"/>
  <c r="S17" i="29"/>
  <c r="R17" i="29"/>
  <c r="N17" i="29"/>
  <c r="Q17" i="29"/>
  <c r="K17" i="29"/>
  <c r="M17" i="29"/>
  <c r="E17" i="29"/>
  <c r="L17" i="29"/>
  <c r="I17" i="29"/>
  <c r="E8" i="29"/>
  <c r="F8" i="29"/>
  <c r="P17" i="29"/>
  <c r="H41" i="31"/>
  <c r="E175" i="29" s="1"/>
  <c r="H361" i="29"/>
  <c r="K51" i="31"/>
  <c r="E280" i="29" s="1"/>
  <c r="K325" i="29"/>
  <c r="J229" i="29"/>
  <c r="J366" i="29"/>
  <c r="K222" i="29"/>
  <c r="K366" i="29" s="1"/>
  <c r="T10" i="29"/>
  <c r="T269" i="29"/>
  <c r="L222" i="29"/>
  <c r="M222" i="29" s="1"/>
  <c r="M229" i="29" s="1"/>
  <c r="E12" i="18"/>
  <c r="J81" i="3"/>
  <c r="F12" i="18"/>
  <c r="E11" i="18"/>
  <c r="I59" i="3"/>
  <c r="L35" i="3"/>
  <c r="I147" i="3"/>
  <c r="R13" i="3"/>
  <c r="I13" i="3"/>
  <c r="M13" i="3"/>
  <c r="H13" i="3"/>
  <c r="O158" i="3"/>
  <c r="B21" i="31"/>
  <c r="E98" i="3" s="1"/>
  <c r="E99" i="3" s="1"/>
  <c r="F99" i="3" s="1"/>
  <c r="Q158" i="3"/>
  <c r="K158" i="3"/>
  <c r="H159" i="3"/>
  <c r="I158" i="3"/>
  <c r="H158" i="3"/>
  <c r="P158" i="3"/>
  <c r="R158" i="3"/>
  <c r="B150" i="3"/>
  <c r="B11" i="9"/>
  <c r="B21" i="9" s="1"/>
  <c r="B21" i="13" s="1"/>
  <c r="O20" i="9"/>
  <c r="E20" i="18"/>
  <c r="L21" i="9"/>
  <c r="N21" i="9"/>
  <c r="I21" i="9"/>
  <c r="P42" i="18"/>
  <c r="Q42" i="18" s="1"/>
  <c r="I42" i="13" s="1"/>
  <c r="E47" i="21"/>
  <c r="F47" i="21" s="1"/>
  <c r="G47" i="21" s="1"/>
  <c r="H47" i="21" s="1"/>
  <c r="I47" i="21" s="1"/>
  <c r="J47" i="21" s="1"/>
  <c r="K47" i="21" s="1"/>
  <c r="L47" i="21" s="1"/>
  <c r="M47" i="21" s="1"/>
  <c r="N47" i="21" s="1"/>
  <c r="O47" i="21" s="1"/>
  <c r="P47" i="21" s="1"/>
  <c r="E41" i="18"/>
  <c r="F41" i="18" s="1"/>
  <c r="G41" i="18" s="1"/>
  <c r="H41" i="18" s="1"/>
  <c r="I41" i="18" s="1"/>
  <c r="E45" i="18"/>
  <c r="F45" i="18" s="1"/>
  <c r="G45" i="18" s="1"/>
  <c r="E45" i="21"/>
  <c r="E49" i="18"/>
  <c r="F49" i="18" s="1"/>
  <c r="G49" i="18" s="1"/>
  <c r="H49" i="18" s="1"/>
  <c r="I49" i="18" s="1"/>
  <c r="J49" i="18" s="1"/>
  <c r="K49" i="18" s="1"/>
  <c r="L49" i="18" s="1"/>
  <c r="M49" i="18" s="1"/>
  <c r="N49" i="18" s="1"/>
  <c r="O49" i="18" s="1"/>
  <c r="P49" i="18" s="1"/>
  <c r="G12" i="18"/>
  <c r="I151" i="3"/>
  <c r="J59" i="3"/>
  <c r="G21" i="18" s="1"/>
  <c r="F11" i="18"/>
  <c r="E41" i="21"/>
  <c r="F41" i="21" s="1"/>
  <c r="I103" i="8" l="1"/>
  <c r="H103" i="8"/>
  <c r="G103" i="8"/>
  <c r="H99" i="8"/>
  <c r="I56" i="8"/>
  <c r="P56" i="8"/>
  <c r="G55" i="8"/>
  <c r="E70" i="9" s="1"/>
  <c r="N56" i="8"/>
  <c r="K55" i="8"/>
  <c r="I70" i="9" s="1"/>
  <c r="M76" i="8"/>
  <c r="O75" i="8"/>
  <c r="M71" i="9" s="1"/>
  <c r="N75" i="8"/>
  <c r="L71" i="9" s="1"/>
  <c r="L76" i="8"/>
  <c r="K76" i="8"/>
  <c r="R84" i="8"/>
  <c r="N84" i="8"/>
  <c r="J84" i="8"/>
  <c r="R83" i="8"/>
  <c r="P71" i="21" s="1"/>
  <c r="J83" i="8"/>
  <c r="H71" i="21" s="1"/>
  <c r="G80" i="8"/>
  <c r="K80" i="8"/>
  <c r="N79" i="8"/>
  <c r="I84" i="8"/>
  <c r="M83" i="8"/>
  <c r="K71" i="21" s="1"/>
  <c r="N80" i="8"/>
  <c r="M79" i="8"/>
  <c r="K71" i="18" s="1"/>
  <c r="Q80" i="8"/>
  <c r="L79" i="8"/>
  <c r="J71" i="18" s="1"/>
  <c r="Q84" i="8"/>
  <c r="Q83" i="8"/>
  <c r="O71" i="21" s="1"/>
  <c r="R80" i="8"/>
  <c r="Q79" i="8"/>
  <c r="O71" i="18" s="1"/>
  <c r="M80" i="8"/>
  <c r="H79" i="8"/>
  <c r="F71" i="18" s="1"/>
  <c r="P84" i="8"/>
  <c r="L84" i="8"/>
  <c r="H84" i="8"/>
  <c r="P83" i="8"/>
  <c r="N71" i="21" s="1"/>
  <c r="L83" i="8"/>
  <c r="H83" i="8"/>
  <c r="F71" i="21" s="1"/>
  <c r="P79" i="8"/>
  <c r="N71" i="18" s="1"/>
  <c r="O84" i="8"/>
  <c r="K84" i="8"/>
  <c r="G84" i="8"/>
  <c r="O83" i="8"/>
  <c r="M71" i="21" s="1"/>
  <c r="K83" i="8"/>
  <c r="I71" i="21" s="1"/>
  <c r="G83" i="8"/>
  <c r="E71" i="21" s="1"/>
  <c r="P80" i="8"/>
  <c r="L80" i="8"/>
  <c r="H80" i="8"/>
  <c r="O79" i="8"/>
  <c r="M71" i="18" s="1"/>
  <c r="K79" i="8"/>
  <c r="I71" i="18" s="1"/>
  <c r="G79" i="8"/>
  <c r="E71" i="18" s="1"/>
  <c r="N83" i="8"/>
  <c r="L71" i="21" s="1"/>
  <c r="O80" i="8"/>
  <c r="R79" i="8"/>
  <c r="P71" i="18" s="1"/>
  <c r="J79" i="8"/>
  <c r="H71" i="18" s="1"/>
  <c r="M84" i="8"/>
  <c r="I83" i="8"/>
  <c r="G71" i="21" s="1"/>
  <c r="J80" i="8"/>
  <c r="I79" i="8"/>
  <c r="G71" i="18" s="1"/>
  <c r="I80" i="8"/>
  <c r="H76" i="8"/>
  <c r="L75" i="8"/>
  <c r="J71" i="9" s="1"/>
  <c r="G75" i="8"/>
  <c r="E71" i="9" s="1"/>
  <c r="I76" i="8"/>
  <c r="P75" i="8"/>
  <c r="N71" i="9" s="1"/>
  <c r="H75" i="8"/>
  <c r="F71" i="9" s="1"/>
  <c r="J76" i="8"/>
  <c r="E72" i="8"/>
  <c r="Q76" i="8"/>
  <c r="R75" i="8"/>
  <c r="P71" i="9" s="1"/>
  <c r="G76" i="8"/>
  <c r="G77" i="8" s="1"/>
  <c r="H77" i="8" s="1"/>
  <c r="I77" i="8" s="1"/>
  <c r="J77" i="8" s="1"/>
  <c r="K77" i="8" s="1"/>
  <c r="L77" i="8" s="1"/>
  <c r="M77" i="8" s="1"/>
  <c r="N77" i="8" s="1"/>
  <c r="O77" i="8" s="1"/>
  <c r="P77" i="8" s="1"/>
  <c r="Q77" i="8" s="1"/>
  <c r="R77" i="8" s="1"/>
  <c r="J75" i="8"/>
  <c r="H71" i="9" s="1"/>
  <c r="R76" i="8"/>
  <c r="Q55" i="8"/>
  <c r="O70" i="9" s="1"/>
  <c r="K56" i="8"/>
  <c r="E52" i="8"/>
  <c r="O55" i="8"/>
  <c r="M70" i="9" s="1"/>
  <c r="M56" i="8"/>
  <c r="N55" i="8"/>
  <c r="L70" i="9" s="1"/>
  <c r="J56" i="8"/>
  <c r="G56" i="8"/>
  <c r="G57" i="8" s="1"/>
  <c r="H57" i="8" s="1"/>
  <c r="I57" i="8" s="1"/>
  <c r="J57" i="8" s="1"/>
  <c r="M55" i="8"/>
  <c r="K70" i="9" s="1"/>
  <c r="R56" i="8"/>
  <c r="O56" i="8"/>
  <c r="J55" i="8"/>
  <c r="H70" i="9" s="1"/>
  <c r="H55" i="8"/>
  <c r="F70" i="9" s="1"/>
  <c r="L56" i="8"/>
  <c r="Q56" i="8"/>
  <c r="L55" i="8"/>
  <c r="J70" i="9" s="1"/>
  <c r="R55" i="8"/>
  <c r="P70" i="9" s="1"/>
  <c r="L70" i="21"/>
  <c r="H70" i="21"/>
  <c r="L70" i="18"/>
  <c r="K70" i="18"/>
  <c r="J70" i="18"/>
  <c r="O70" i="21"/>
  <c r="K70" i="21"/>
  <c r="G70" i="21"/>
  <c r="G70" i="18"/>
  <c r="N70" i="21"/>
  <c r="J70" i="21"/>
  <c r="F70" i="21"/>
  <c r="N70" i="18"/>
  <c r="M70" i="21"/>
  <c r="I70" i="21"/>
  <c r="M70" i="18"/>
  <c r="I70" i="18"/>
  <c r="E70" i="18"/>
  <c r="P70" i="21"/>
  <c r="P70" i="18"/>
  <c r="H70" i="18"/>
  <c r="O70" i="18"/>
  <c r="F70" i="18"/>
  <c r="J99" i="8"/>
  <c r="M100" i="8"/>
  <c r="G100" i="8"/>
  <c r="O104" i="8"/>
  <c r="K104" i="8"/>
  <c r="G104" i="8"/>
  <c r="O103" i="8"/>
  <c r="M72" i="21" s="1"/>
  <c r="K103" i="8"/>
  <c r="I72" i="21" s="1"/>
  <c r="P100" i="8"/>
  <c r="L100" i="8"/>
  <c r="H100" i="8"/>
  <c r="O99" i="8"/>
  <c r="M72" i="18" s="1"/>
  <c r="K99" i="8"/>
  <c r="I72" i="18" s="1"/>
  <c r="G99" i="8"/>
  <c r="R104" i="8"/>
  <c r="N104" i="8"/>
  <c r="J104" i="8"/>
  <c r="R103" i="8"/>
  <c r="N103" i="8"/>
  <c r="L72" i="21" s="1"/>
  <c r="J103" i="8"/>
  <c r="H72" i="21" s="1"/>
  <c r="O100" i="8"/>
  <c r="K100" i="8"/>
  <c r="R99" i="8"/>
  <c r="P72" i="18" s="1"/>
  <c r="N99" i="8"/>
  <c r="L72" i="18" s="1"/>
  <c r="Q104" i="8"/>
  <c r="M104" i="8"/>
  <c r="I104" i="8"/>
  <c r="Q103" i="8"/>
  <c r="O72" i="21" s="1"/>
  <c r="M103" i="8"/>
  <c r="R100" i="8"/>
  <c r="N100" i="8"/>
  <c r="J100" i="8"/>
  <c r="Q99" i="8"/>
  <c r="M99" i="8"/>
  <c r="K72" i="18" s="1"/>
  <c r="I99" i="8"/>
  <c r="G72" i="18" s="1"/>
  <c r="P104" i="8"/>
  <c r="H104" i="8"/>
  <c r="P103" i="8"/>
  <c r="L103" i="8"/>
  <c r="Q100" i="8"/>
  <c r="I100" i="8"/>
  <c r="P99" i="8"/>
  <c r="L99" i="8"/>
  <c r="J72" i="18" s="1"/>
  <c r="S100" i="8"/>
  <c r="K96" i="8"/>
  <c r="L96" i="8"/>
  <c r="O95" i="8"/>
  <c r="M72" i="9" s="1"/>
  <c r="I95" i="8"/>
  <c r="G72" i="9" s="1"/>
  <c r="J95" i="8"/>
  <c r="H72" i="9" s="1"/>
  <c r="P72" i="21"/>
  <c r="I354" i="29"/>
  <c r="J159" i="29"/>
  <c r="K159" i="29" s="1"/>
  <c r="K354" i="29" s="1"/>
  <c r="I346" i="29"/>
  <c r="J117" i="29"/>
  <c r="I338" i="29"/>
  <c r="J75" i="29"/>
  <c r="K75" i="29" s="1"/>
  <c r="K338" i="29" s="1"/>
  <c r="J24" i="7"/>
  <c r="J22" i="7"/>
  <c r="K22" i="7" s="1"/>
  <c r="E51" i="21" s="1"/>
  <c r="F51" i="21" s="1"/>
  <c r="G51" i="21" s="1"/>
  <c r="H51" i="21" s="1"/>
  <c r="I51" i="21" s="1"/>
  <c r="J51" i="21" s="1"/>
  <c r="K51" i="21" s="1"/>
  <c r="L51" i="21" s="1"/>
  <c r="M51" i="21" s="1"/>
  <c r="N51" i="21" s="1"/>
  <c r="O51" i="21" s="1"/>
  <c r="P51" i="21" s="1"/>
  <c r="J14" i="7"/>
  <c r="J26" i="7"/>
  <c r="K26" i="7" s="1"/>
  <c r="E55" i="21" s="1"/>
  <c r="F55" i="21" s="1"/>
  <c r="G55" i="21" s="1"/>
  <c r="H55" i="21" s="1"/>
  <c r="I55" i="21" s="1"/>
  <c r="J55" i="21" s="1"/>
  <c r="K55" i="21" s="1"/>
  <c r="L55" i="21" s="1"/>
  <c r="M55" i="21" s="1"/>
  <c r="N55" i="21" s="1"/>
  <c r="O55" i="21" s="1"/>
  <c r="P55" i="21" s="1"/>
  <c r="T58" i="29"/>
  <c r="T31" i="29"/>
  <c r="T283" i="29"/>
  <c r="H142" i="3"/>
  <c r="S142" i="3"/>
  <c r="O142" i="3"/>
  <c r="Q142" i="3"/>
  <c r="N142" i="3"/>
  <c r="I31" i="1"/>
  <c r="B101" i="28"/>
  <c r="C101" i="28" s="1"/>
  <c r="H6" i="28"/>
  <c r="A1" i="16"/>
  <c r="A1" i="19"/>
  <c r="A1" i="18"/>
  <c r="A1" i="12" s="1"/>
  <c r="A1" i="26"/>
  <c r="A1" i="6"/>
  <c r="A1" i="9"/>
  <c r="A1" i="7"/>
  <c r="A1" i="3"/>
  <c r="A1" i="13" s="1"/>
  <c r="A1" i="17"/>
  <c r="A1" i="11"/>
  <c r="A1" i="8"/>
  <c r="L95" i="8"/>
  <c r="J72" i="9" s="1"/>
  <c r="P95" i="8"/>
  <c r="N72" i="9" s="1"/>
  <c r="P96" i="8"/>
  <c r="H95" i="8"/>
  <c r="F72" i="9" s="1"/>
  <c r="J96" i="8"/>
  <c r="N95" i="8"/>
  <c r="L72" i="9" s="1"/>
  <c r="O72" i="18"/>
  <c r="O96" i="8"/>
  <c r="E72" i="21"/>
  <c r="I96" i="8"/>
  <c r="M95" i="8"/>
  <c r="K72" i="9" s="1"/>
  <c r="N72" i="18"/>
  <c r="E92" i="8"/>
  <c r="F72" i="21"/>
  <c r="E72" i="18"/>
  <c r="N96" i="8"/>
  <c r="R95" i="8"/>
  <c r="P72" i="9" s="1"/>
  <c r="G95" i="8"/>
  <c r="E72" i="9" s="1"/>
  <c r="H72" i="18"/>
  <c r="M96" i="8"/>
  <c r="Q95" i="8"/>
  <c r="O72" i="9" s="1"/>
  <c r="G72" i="21"/>
  <c r="J72" i="21"/>
  <c r="N72" i="21"/>
  <c r="R96" i="8"/>
  <c r="G96" i="8"/>
  <c r="G97" i="8" s="1"/>
  <c r="H97" i="8" s="1"/>
  <c r="K95" i="8"/>
  <c r="I72" i="9" s="1"/>
  <c r="Q96" i="8"/>
  <c r="K72" i="21"/>
  <c r="G13" i="18"/>
  <c r="J159" i="3"/>
  <c r="F13" i="18"/>
  <c r="I159" i="3"/>
  <c r="Q14" i="9"/>
  <c r="F14" i="13" s="1"/>
  <c r="J163" i="3"/>
  <c r="H163" i="3"/>
  <c r="J162" i="3"/>
  <c r="O162" i="3"/>
  <c r="H162" i="3"/>
  <c r="E21" i="9"/>
  <c r="K21" i="9"/>
  <c r="E21" i="18"/>
  <c r="F21" i="18"/>
  <c r="F21" i="9"/>
  <c r="M21" i="9"/>
  <c r="E55" i="3"/>
  <c r="F55" i="3" s="1"/>
  <c r="O21" i="9"/>
  <c r="G21" i="9"/>
  <c r="B13" i="9"/>
  <c r="B13" i="18" s="1"/>
  <c r="B12" i="13"/>
  <c r="B12" i="18"/>
  <c r="I23" i="9"/>
  <c r="N23" i="9"/>
  <c r="G23" i="9"/>
  <c r="G23" i="18"/>
  <c r="L23" i="9"/>
  <c r="E108" i="3"/>
  <c r="E109" i="3" s="1"/>
  <c r="F23" i="9"/>
  <c r="E23" i="18"/>
  <c r="E23" i="9"/>
  <c r="F98" i="3"/>
  <c r="P23" i="9"/>
  <c r="J23" i="9"/>
  <c r="O23" i="9"/>
  <c r="H23" i="9"/>
  <c r="M23" i="9"/>
  <c r="K23" i="9"/>
  <c r="F23" i="18"/>
  <c r="P162" i="3"/>
  <c r="Q162" i="3"/>
  <c r="R162" i="3"/>
  <c r="L162" i="3"/>
  <c r="I162" i="3"/>
  <c r="N162" i="3"/>
  <c r="B11" i="18"/>
  <c r="B11" i="21" s="1"/>
  <c r="B21" i="21" s="1"/>
  <c r="E55" i="18"/>
  <c r="F55" i="18" s="1"/>
  <c r="G55" i="18" s="1"/>
  <c r="H55" i="18" s="1"/>
  <c r="I55" i="18" s="1"/>
  <c r="J55" i="18" s="1"/>
  <c r="K55" i="18" s="1"/>
  <c r="L55" i="18" s="1"/>
  <c r="M55" i="18" s="1"/>
  <c r="N55" i="18" s="1"/>
  <c r="O55" i="18" s="1"/>
  <c r="P55" i="18" s="1"/>
  <c r="E51" i="18"/>
  <c r="F51" i="18" s="1"/>
  <c r="E47" i="18"/>
  <c r="F47" i="18" s="1"/>
  <c r="G47" i="18" s="1"/>
  <c r="H47" i="18" s="1"/>
  <c r="I47" i="18" s="1"/>
  <c r="J47" i="18" s="1"/>
  <c r="K47" i="18" s="1"/>
  <c r="L47" i="18" s="1"/>
  <c r="M47" i="18" s="1"/>
  <c r="N47" i="18" s="1"/>
  <c r="O47" i="18" s="1"/>
  <c r="P47" i="18" s="1"/>
  <c r="J151" i="3"/>
  <c r="J37" i="3"/>
  <c r="K37" i="3" s="1"/>
  <c r="H10" i="18" s="1"/>
  <c r="Q10" i="9"/>
  <c r="F10" i="13" s="1"/>
  <c r="H147" i="3"/>
  <c r="H143" i="3"/>
  <c r="E9" i="18"/>
  <c r="H155" i="3"/>
  <c r="M154" i="3"/>
  <c r="J155" i="3"/>
  <c r="J154" i="3"/>
  <c r="P154" i="3"/>
  <c r="M16" i="9"/>
  <c r="M11" i="11" s="1"/>
  <c r="S162" i="3"/>
  <c r="M162" i="3"/>
  <c r="M142" i="3"/>
  <c r="P142" i="3"/>
  <c r="K142" i="3"/>
  <c r="I142" i="3"/>
  <c r="L142" i="3"/>
  <c r="R142" i="3"/>
  <c r="T17" i="29"/>
  <c r="B14" i="9"/>
  <c r="F20" i="9"/>
  <c r="E42" i="3"/>
  <c r="E43" i="3" s="1"/>
  <c r="P20" i="9"/>
  <c r="E33" i="3"/>
  <c r="F33" i="3" s="1"/>
  <c r="L20" i="9"/>
  <c r="M20" i="9"/>
  <c r="F20" i="18"/>
  <c r="E20" i="9"/>
  <c r="H20" i="9"/>
  <c r="I20" i="9"/>
  <c r="K20" i="9"/>
  <c r="C23" i="22"/>
  <c r="C23" i="19"/>
  <c r="K28" i="14"/>
  <c r="I12" i="12"/>
  <c r="F12" i="20" s="1"/>
  <c r="I12" i="20" s="1"/>
  <c r="F12" i="23" s="1"/>
  <c r="I12" i="23" s="1"/>
  <c r="L46" i="1"/>
  <c r="F18" i="20"/>
  <c r="I18" i="20" s="1"/>
  <c r="I23" i="12"/>
  <c r="I15" i="1"/>
  <c r="I358" i="29"/>
  <c r="I187" i="29"/>
  <c r="K103" i="3"/>
  <c r="F23" i="12"/>
  <c r="E46" i="18"/>
  <c r="F46" i="18" s="1"/>
  <c r="G46" i="18" s="1"/>
  <c r="H46" i="18" s="1"/>
  <c r="I46" i="18" s="1"/>
  <c r="J46" i="18" s="1"/>
  <c r="K46" i="18" s="1"/>
  <c r="L46" i="18" s="1"/>
  <c r="M46" i="18" s="1"/>
  <c r="N46" i="18" s="1"/>
  <c r="O46" i="18" s="1"/>
  <c r="P46" i="18" s="1"/>
  <c r="Q46" i="18" s="1"/>
  <c r="I46" i="13" s="1"/>
  <c r="K16" i="9"/>
  <c r="K11" i="11" s="1"/>
  <c r="Q12" i="9"/>
  <c r="F12" i="13" s="1"/>
  <c r="M313" i="29"/>
  <c r="J15" i="9" s="1"/>
  <c r="T101" i="3"/>
  <c r="I41" i="20"/>
  <c r="F41" i="23" s="1"/>
  <c r="I41" i="23" s="1"/>
  <c r="T37" i="29"/>
  <c r="Q313" i="29"/>
  <c r="N15" i="9" s="1"/>
  <c r="N16" i="9" s="1"/>
  <c r="N11" i="11" s="1"/>
  <c r="F47" i="16"/>
  <c r="F50" i="16" s="1"/>
  <c r="H248" i="29"/>
  <c r="N248" i="29"/>
  <c r="R248" i="29"/>
  <c r="J248" i="29"/>
  <c r="E248" i="29"/>
  <c r="K248" i="29"/>
  <c r="S248" i="29"/>
  <c r="P248" i="29"/>
  <c r="O248" i="29"/>
  <c r="L248" i="29"/>
  <c r="I248" i="29"/>
  <c r="E239" i="29"/>
  <c r="Q248" i="29"/>
  <c r="M248" i="29"/>
  <c r="H251" i="29"/>
  <c r="H228" i="29"/>
  <c r="O228" i="29"/>
  <c r="S228" i="29"/>
  <c r="L228" i="29"/>
  <c r="Q228" i="29"/>
  <c r="I227" i="29"/>
  <c r="S227" i="29"/>
  <c r="E218" i="29"/>
  <c r="E227" i="29"/>
  <c r="N228" i="29"/>
  <c r="J228" i="29"/>
  <c r="I230" i="29"/>
  <c r="P228" i="29"/>
  <c r="H230" i="29"/>
  <c r="P227" i="29"/>
  <c r="R227" i="29"/>
  <c r="K231" i="29"/>
  <c r="I231" i="29"/>
  <c r="R228" i="29"/>
  <c r="I228" i="29"/>
  <c r="N227" i="29"/>
  <c r="O227" i="29"/>
  <c r="K227" i="29"/>
  <c r="J227" i="29"/>
  <c r="J231" i="29"/>
  <c r="H231" i="29"/>
  <c r="K228" i="29"/>
  <c r="M228" i="29"/>
  <c r="L227" i="29"/>
  <c r="H227" i="29"/>
  <c r="Q227" i="29"/>
  <c r="M227" i="29"/>
  <c r="J230" i="29"/>
  <c r="M231" i="29"/>
  <c r="I350" i="29"/>
  <c r="L349" i="29"/>
  <c r="N349" i="29"/>
  <c r="M349" i="29"/>
  <c r="S349" i="29"/>
  <c r="J349" i="29"/>
  <c r="J350" i="29"/>
  <c r="I349" i="29"/>
  <c r="E155" i="29"/>
  <c r="P164" i="29"/>
  <c r="R164" i="29"/>
  <c r="J164" i="29"/>
  <c r="O164" i="29"/>
  <c r="E164" i="29"/>
  <c r="S164" i="29"/>
  <c r="L164" i="29"/>
  <c r="K164" i="29"/>
  <c r="H164" i="29"/>
  <c r="I164" i="29"/>
  <c r="H167" i="29"/>
  <c r="M164" i="29"/>
  <c r="N164" i="29"/>
  <c r="Q164" i="29"/>
  <c r="Q185" i="29"/>
  <c r="J185" i="29"/>
  <c r="P185" i="29"/>
  <c r="L185" i="29"/>
  <c r="S185" i="29"/>
  <c r="R185" i="29"/>
  <c r="M185" i="29"/>
  <c r="H188" i="29"/>
  <c r="I185" i="29"/>
  <c r="E101" i="29"/>
  <c r="S101" i="29"/>
  <c r="I101" i="29"/>
  <c r="J101" i="29"/>
  <c r="L101" i="29"/>
  <c r="E92" i="29"/>
  <c r="O101" i="29"/>
  <c r="H101" i="29"/>
  <c r="Q101" i="29"/>
  <c r="K101" i="29"/>
  <c r="R101" i="29"/>
  <c r="N101" i="29"/>
  <c r="M101" i="29"/>
  <c r="P101" i="29"/>
  <c r="H341" i="29"/>
  <c r="E71" i="29"/>
  <c r="I80" i="29"/>
  <c r="K80" i="29"/>
  <c r="Q80" i="29"/>
  <c r="J80" i="29"/>
  <c r="L80" i="29"/>
  <c r="S80" i="29"/>
  <c r="R80" i="29"/>
  <c r="O80" i="29"/>
  <c r="N80" i="29"/>
  <c r="H83" i="29"/>
  <c r="E80" i="29"/>
  <c r="M80" i="29"/>
  <c r="P80" i="29"/>
  <c r="H80" i="29"/>
  <c r="P59" i="29"/>
  <c r="T59" i="29" s="1"/>
  <c r="R38" i="29"/>
  <c r="R331" i="29" s="1"/>
  <c r="M38" i="29"/>
  <c r="M331" i="29" s="1"/>
  <c r="N38" i="29"/>
  <c r="N331" i="29" s="1"/>
  <c r="Q38" i="29"/>
  <c r="Q331" i="29" s="1"/>
  <c r="L38" i="29"/>
  <c r="L331" i="29" s="1"/>
  <c r="E38" i="29"/>
  <c r="J38" i="29"/>
  <c r="J331" i="29" s="1"/>
  <c r="H41" i="29"/>
  <c r="H38" i="29"/>
  <c r="P38" i="29"/>
  <c r="P331" i="29" s="1"/>
  <c r="E29" i="29"/>
  <c r="S38" i="29"/>
  <c r="S331" i="29" s="1"/>
  <c r="I38" i="29"/>
  <c r="I331" i="29" s="1"/>
  <c r="O38" i="29"/>
  <c r="O331" i="29" s="1"/>
  <c r="K38" i="29"/>
  <c r="K331" i="29" s="1"/>
  <c r="Q14" i="21"/>
  <c r="L14" i="13" s="1"/>
  <c r="H166" i="3"/>
  <c r="H385" i="29" s="1"/>
  <c r="Q13" i="9"/>
  <c r="F13" i="13" s="1"/>
  <c r="K81" i="3"/>
  <c r="E85" i="3"/>
  <c r="J16" i="9"/>
  <c r="J11" i="11" s="1"/>
  <c r="I155" i="3"/>
  <c r="S154" i="3"/>
  <c r="L154" i="3"/>
  <c r="R154" i="3"/>
  <c r="O154" i="3"/>
  <c r="Q154" i="3"/>
  <c r="K11" i="31"/>
  <c r="E76" i="3" s="1"/>
  <c r="G22" i="9" s="1"/>
  <c r="N154" i="3"/>
  <c r="K154" i="3"/>
  <c r="I154" i="3"/>
  <c r="K59" i="3"/>
  <c r="H11" i="18" s="1"/>
  <c r="G11" i="18"/>
  <c r="T13" i="3"/>
  <c r="J15" i="3"/>
  <c r="J143" i="3" s="1"/>
  <c r="F9" i="18"/>
  <c r="I143" i="3"/>
  <c r="B19" i="9"/>
  <c r="B19" i="13" s="1"/>
  <c r="B9" i="13"/>
  <c r="B9" i="18"/>
  <c r="B142" i="3"/>
  <c r="L24" i="21"/>
  <c r="G24" i="21"/>
  <c r="E24" i="18"/>
  <c r="P24" i="9"/>
  <c r="J24" i="9"/>
  <c r="H24" i="21"/>
  <c r="F24" i="9"/>
  <c r="N24" i="21"/>
  <c r="P24" i="21"/>
  <c r="F24" i="18"/>
  <c r="G24" i="9"/>
  <c r="E24" i="9"/>
  <c r="H24" i="9"/>
  <c r="L24" i="9"/>
  <c r="N24" i="9"/>
  <c r="J24" i="21"/>
  <c r="O24" i="9"/>
  <c r="E130" i="3"/>
  <c r="E131" i="3" s="1"/>
  <c r="K24" i="21"/>
  <c r="K24" i="9"/>
  <c r="E24" i="21"/>
  <c r="F120" i="3"/>
  <c r="F24" i="21"/>
  <c r="E121" i="3"/>
  <c r="F121" i="3" s="1"/>
  <c r="O24" i="21"/>
  <c r="I24" i="21"/>
  <c r="M24" i="21"/>
  <c r="M24" i="9"/>
  <c r="I24" i="9"/>
  <c r="G24" i="18"/>
  <c r="F19" i="18"/>
  <c r="P19" i="9"/>
  <c r="L19" i="9"/>
  <c r="F19" i="9"/>
  <c r="G19" i="9"/>
  <c r="O19" i="9"/>
  <c r="K19" i="9"/>
  <c r="N19" i="9"/>
  <c r="H19" i="9"/>
  <c r="F10" i="3"/>
  <c r="E20" i="3"/>
  <c r="E21" i="3" s="1"/>
  <c r="E19" i="18"/>
  <c r="J19" i="9"/>
  <c r="E11" i="3"/>
  <c r="F11" i="3" s="1"/>
  <c r="M19" i="9"/>
  <c r="E19" i="9"/>
  <c r="I19" i="9"/>
  <c r="E56" i="18"/>
  <c r="F56" i="18" s="1"/>
  <c r="G56" i="18" s="1"/>
  <c r="H56" i="18" s="1"/>
  <c r="I56" i="18" s="1"/>
  <c r="J56" i="18" s="1"/>
  <c r="K56" i="18" s="1"/>
  <c r="L56" i="18" s="1"/>
  <c r="M56" i="18" s="1"/>
  <c r="N56" i="18" s="1"/>
  <c r="O56" i="18" s="1"/>
  <c r="P56" i="18" s="1"/>
  <c r="E56" i="21"/>
  <c r="E44" i="21"/>
  <c r="F44" i="21" s="1"/>
  <c r="G44" i="21" s="1"/>
  <c r="H44" i="21" s="1"/>
  <c r="I44" i="21" s="1"/>
  <c r="J44" i="21" s="1"/>
  <c r="K44" i="21" s="1"/>
  <c r="L44" i="21" s="1"/>
  <c r="M44" i="21" s="1"/>
  <c r="N44" i="21" s="1"/>
  <c r="O44" i="21" s="1"/>
  <c r="P44" i="21" s="1"/>
  <c r="E44" i="18"/>
  <c r="I42" i="9"/>
  <c r="J42" i="9" s="1"/>
  <c r="K42" i="9" s="1"/>
  <c r="L42" i="9" s="1"/>
  <c r="M42" i="9" s="1"/>
  <c r="N42" i="9" s="1"/>
  <c r="O42" i="9" s="1"/>
  <c r="P42" i="9" s="1"/>
  <c r="E52" i="18"/>
  <c r="F52" i="18" s="1"/>
  <c r="G52" i="18" s="1"/>
  <c r="H52" i="18" s="1"/>
  <c r="I52" i="18" s="1"/>
  <c r="J52" i="18" s="1"/>
  <c r="K52" i="18" s="1"/>
  <c r="L52" i="18" s="1"/>
  <c r="M52" i="18" s="1"/>
  <c r="N52" i="18" s="1"/>
  <c r="O52" i="18" s="1"/>
  <c r="P52" i="18" s="1"/>
  <c r="E52" i="21"/>
  <c r="F52" i="21" s="1"/>
  <c r="G52" i="21" s="1"/>
  <c r="H52" i="21" s="1"/>
  <c r="I52" i="21" s="1"/>
  <c r="J52" i="21" s="1"/>
  <c r="Q43" i="9"/>
  <c r="F43" i="13" s="1"/>
  <c r="E59" i="21"/>
  <c r="E59" i="18"/>
  <c r="F59" i="18" s="1"/>
  <c r="G59" i="18" s="1"/>
  <c r="H59" i="18" s="1"/>
  <c r="I59" i="18" s="1"/>
  <c r="J59" i="18" s="1"/>
  <c r="K59" i="18" s="1"/>
  <c r="L59" i="18" s="1"/>
  <c r="M59" i="18" s="1"/>
  <c r="N59" i="18" s="1"/>
  <c r="O59" i="18" s="1"/>
  <c r="P59" i="18" s="1"/>
  <c r="E50" i="21"/>
  <c r="F50" i="21" s="1"/>
  <c r="G50" i="21" s="1"/>
  <c r="H50" i="21" s="1"/>
  <c r="I50" i="21" s="1"/>
  <c r="J50" i="21" s="1"/>
  <c r="K50" i="21" s="1"/>
  <c r="L50" i="21" s="1"/>
  <c r="M50" i="21" s="1"/>
  <c r="N50" i="21" s="1"/>
  <c r="O50" i="21" s="1"/>
  <c r="P50" i="21" s="1"/>
  <c r="E50" i="18"/>
  <c r="F50" i="18" s="1"/>
  <c r="G50" i="18" s="1"/>
  <c r="H50" i="18" s="1"/>
  <c r="I50" i="18" s="1"/>
  <c r="J50" i="18" s="1"/>
  <c r="K50" i="18" s="1"/>
  <c r="L50" i="18" s="1"/>
  <c r="M50" i="18" s="1"/>
  <c r="N50" i="18" s="1"/>
  <c r="O50" i="18" s="1"/>
  <c r="P50" i="18" s="1"/>
  <c r="M57" i="9"/>
  <c r="N57" i="9" s="1"/>
  <c r="O57" i="9" s="1"/>
  <c r="P57" i="9" s="1"/>
  <c r="O48" i="9"/>
  <c r="P48" i="9" s="1"/>
  <c r="F60" i="9"/>
  <c r="F24" i="11" s="1"/>
  <c r="Q58" i="18"/>
  <c r="I58" i="13" s="1"/>
  <c r="Q47" i="9"/>
  <c r="F47" i="13" s="1"/>
  <c r="E40" i="18"/>
  <c r="F40" i="18" s="1"/>
  <c r="G40" i="18" s="1"/>
  <c r="H40" i="18" s="1"/>
  <c r="I40" i="18" s="1"/>
  <c r="J40" i="18" s="1"/>
  <c r="K40" i="18" s="1"/>
  <c r="L40" i="18" s="1"/>
  <c r="M40" i="18" s="1"/>
  <c r="N40" i="18" s="1"/>
  <c r="Q55" i="9"/>
  <c r="F55" i="13" s="1"/>
  <c r="E60" i="9"/>
  <c r="E24" i="11" s="1"/>
  <c r="K11" i="7"/>
  <c r="E40" i="21" s="1"/>
  <c r="I31" i="7"/>
  <c r="Q49" i="9"/>
  <c r="F49" i="13" s="1"/>
  <c r="E31" i="18"/>
  <c r="O64" i="21"/>
  <c r="E64" i="18"/>
  <c r="N64" i="18"/>
  <c r="P64" i="18"/>
  <c r="N64" i="21"/>
  <c r="O64" i="9"/>
  <c r="L64" i="9"/>
  <c r="J64" i="21"/>
  <c r="F64" i="21"/>
  <c r="M64" i="9"/>
  <c r="P64" i="21"/>
  <c r="F64" i="9"/>
  <c r="K64" i="21"/>
  <c r="P64" i="9"/>
  <c r="G64" i="9"/>
  <c r="K64" i="18"/>
  <c r="L64" i="18"/>
  <c r="J64" i="18"/>
  <c r="H64" i="9"/>
  <c r="L64" i="21"/>
  <c r="H64" i="21"/>
  <c r="G64" i="21"/>
  <c r="M64" i="18"/>
  <c r="I64" i="9"/>
  <c r="N64" i="9"/>
  <c r="O64" i="18"/>
  <c r="H64" i="18"/>
  <c r="K64" i="9"/>
  <c r="E64" i="21"/>
  <c r="E64" i="9"/>
  <c r="J64" i="9"/>
  <c r="I64" i="18"/>
  <c r="M64" i="21"/>
  <c r="I64" i="21"/>
  <c r="G64" i="18"/>
  <c r="F64" i="18"/>
  <c r="F11" i="12"/>
  <c r="I11" i="12" s="1"/>
  <c r="F11" i="20" s="1"/>
  <c r="I11" i="20" s="1"/>
  <c r="F11" i="23" s="1"/>
  <c r="I11" i="23" s="1"/>
  <c r="G14" i="26"/>
  <c r="I14" i="26" s="1"/>
  <c r="F23" i="20"/>
  <c r="E29" i="8"/>
  <c r="E65" i="18"/>
  <c r="F65" i="18" s="1"/>
  <c r="G65" i="18" s="1"/>
  <c r="H65" i="18" s="1"/>
  <c r="I65" i="18" s="1"/>
  <c r="J65" i="18" s="1"/>
  <c r="K65" i="18" s="1"/>
  <c r="L65" i="18" s="1"/>
  <c r="M65" i="18" s="1"/>
  <c r="N65" i="18" s="1"/>
  <c r="L97" i="28"/>
  <c r="O34" i="9" s="1"/>
  <c r="C55" i="28"/>
  <c r="E97" i="28"/>
  <c r="H34" i="9" s="1"/>
  <c r="I97" i="28"/>
  <c r="L34" i="9" s="1"/>
  <c r="D97" i="28"/>
  <c r="G34" i="9" s="1"/>
  <c r="B97" i="28"/>
  <c r="E34" i="9" s="1"/>
  <c r="F97" i="28"/>
  <c r="I34" i="9" s="1"/>
  <c r="J97" i="28"/>
  <c r="M34" i="9" s="1"/>
  <c r="H97" i="28"/>
  <c r="K34" i="9" s="1"/>
  <c r="C97" i="28"/>
  <c r="F34" i="9" s="1"/>
  <c r="G97" i="28"/>
  <c r="J34" i="9" s="1"/>
  <c r="K97" i="28"/>
  <c r="N34" i="9" s="1"/>
  <c r="B85" i="28"/>
  <c r="E33" i="9" s="1"/>
  <c r="F38" i="28"/>
  <c r="C85" i="28"/>
  <c r="F33" i="9" s="1"/>
  <c r="P21" i="6"/>
  <c r="E35" i="18" s="1"/>
  <c r="F35" i="18" s="1"/>
  <c r="G35" i="18" s="1"/>
  <c r="H35" i="18" s="1"/>
  <c r="I35" i="18" s="1"/>
  <c r="J35" i="18" s="1"/>
  <c r="K35" i="18" s="1"/>
  <c r="L35" i="18" s="1"/>
  <c r="M35" i="18" s="1"/>
  <c r="N35" i="18" s="1"/>
  <c r="O35" i="18" s="1"/>
  <c r="P35" i="18" s="1"/>
  <c r="F19" i="28"/>
  <c r="G19" i="28"/>
  <c r="H19" i="28"/>
  <c r="B66" i="28"/>
  <c r="E32" i="9" s="1"/>
  <c r="G25" i="28"/>
  <c r="H25" i="28" s="1"/>
  <c r="O40" i="18"/>
  <c r="N65" i="9"/>
  <c r="F56" i="21"/>
  <c r="G56" i="21" s="1"/>
  <c r="H56" i="21" s="1"/>
  <c r="I56" i="21" s="1"/>
  <c r="J56" i="21" s="1"/>
  <c r="K56" i="21" s="1"/>
  <c r="L56" i="21" s="1"/>
  <c r="M56" i="21" s="1"/>
  <c r="N56" i="21" s="1"/>
  <c r="O56" i="21" s="1"/>
  <c r="P56" i="21" s="1"/>
  <c r="B23" i="18"/>
  <c r="B13" i="21"/>
  <c r="B23" i="21" s="1"/>
  <c r="H45" i="18"/>
  <c r="I45" i="18" s="1"/>
  <c r="J45" i="18" s="1"/>
  <c r="K45" i="18" s="1"/>
  <c r="L45" i="18" s="1"/>
  <c r="M45" i="18" s="1"/>
  <c r="N45" i="18" s="1"/>
  <c r="O45" i="18" s="1"/>
  <c r="P45" i="18" s="1"/>
  <c r="J41" i="9"/>
  <c r="F21" i="23"/>
  <c r="I51" i="9"/>
  <c r="J51" i="9" s="1"/>
  <c r="K51" i="9" s="1"/>
  <c r="L51" i="9" s="1"/>
  <c r="M51" i="9" s="1"/>
  <c r="N51" i="9" s="1"/>
  <c r="O51" i="9" s="1"/>
  <c r="P51" i="9" s="1"/>
  <c r="K53" i="9"/>
  <c r="L53" i="9" s="1"/>
  <c r="M53" i="9" s="1"/>
  <c r="N53" i="9" s="1"/>
  <c r="O53" i="9" s="1"/>
  <c r="P53" i="9" s="1"/>
  <c r="Q50" i="21"/>
  <c r="L50" i="13" s="1"/>
  <c r="Q54" i="18"/>
  <c r="I54" i="13" s="1"/>
  <c r="J41" i="18"/>
  <c r="G41" i="21"/>
  <c r="Q49" i="18"/>
  <c r="I49" i="13" s="1"/>
  <c r="Q56" i="18"/>
  <c r="I56" i="13" s="1"/>
  <c r="G51" i="18"/>
  <c r="H51" i="18" s="1"/>
  <c r="I51" i="18" s="1"/>
  <c r="J51" i="18" s="1"/>
  <c r="K51" i="18" s="1"/>
  <c r="L51" i="18" s="1"/>
  <c r="M51" i="18" s="1"/>
  <c r="N51" i="18" s="1"/>
  <c r="O51" i="18" s="1"/>
  <c r="P51" i="18" s="1"/>
  <c r="I54" i="9"/>
  <c r="J54" i="9" s="1"/>
  <c r="K54" i="9" s="1"/>
  <c r="L54" i="9" s="1"/>
  <c r="M54" i="9" s="1"/>
  <c r="N54" i="9" s="1"/>
  <c r="O54" i="9" s="1"/>
  <c r="P54" i="9" s="1"/>
  <c r="I45" i="9"/>
  <c r="J45" i="9" s="1"/>
  <c r="K45" i="9" s="1"/>
  <c r="L45" i="9" s="1"/>
  <c r="M45" i="9" s="1"/>
  <c r="N45" i="9" s="1"/>
  <c r="O45" i="9" s="1"/>
  <c r="P45" i="9" s="1"/>
  <c r="I50" i="9"/>
  <c r="J50" i="9" s="1"/>
  <c r="K50" i="9" s="1"/>
  <c r="L50" i="9" s="1"/>
  <c r="M50" i="9" s="1"/>
  <c r="N50" i="9" s="1"/>
  <c r="O50" i="9" s="1"/>
  <c r="P50" i="9" s="1"/>
  <c r="Q47" i="21"/>
  <c r="L47" i="13" s="1"/>
  <c r="I42" i="21"/>
  <c r="J42" i="21" s="1"/>
  <c r="K42" i="21" s="1"/>
  <c r="L42" i="21" s="1"/>
  <c r="M42" i="21" s="1"/>
  <c r="N42" i="21" s="1"/>
  <c r="O42" i="21" s="1"/>
  <c r="P42" i="21" s="1"/>
  <c r="N46" i="21"/>
  <c r="O46" i="21" s="1"/>
  <c r="P46" i="21" s="1"/>
  <c r="Q55" i="18"/>
  <c r="I55" i="13" s="1"/>
  <c r="K52" i="21"/>
  <c r="L52" i="21" s="1"/>
  <c r="M52" i="21" s="1"/>
  <c r="N52" i="21" s="1"/>
  <c r="O52" i="21" s="1"/>
  <c r="P52" i="21" s="1"/>
  <c r="L40" i="9"/>
  <c r="K151" i="3"/>
  <c r="H21" i="18"/>
  <c r="E49" i="21"/>
  <c r="F45" i="21"/>
  <c r="G45" i="21" s="1"/>
  <c r="H45" i="21" s="1"/>
  <c r="I45" i="21" s="1"/>
  <c r="J45" i="21" s="1"/>
  <c r="K45" i="21" s="1"/>
  <c r="L45" i="21" s="1"/>
  <c r="M45" i="21" s="1"/>
  <c r="N45" i="21" s="1"/>
  <c r="O45" i="21" s="1"/>
  <c r="P45" i="21" s="1"/>
  <c r="B11" i="13"/>
  <c r="Q54" i="21"/>
  <c r="L54" i="13" s="1"/>
  <c r="B23" i="9"/>
  <c r="B23" i="13" s="1"/>
  <c r="M230" i="29"/>
  <c r="N222" i="29"/>
  <c r="Q291" i="29"/>
  <c r="M291" i="29"/>
  <c r="I291" i="29"/>
  <c r="P291" i="29"/>
  <c r="L291" i="29"/>
  <c r="S291" i="29"/>
  <c r="O291" i="29"/>
  <c r="K291" i="29"/>
  <c r="J291" i="29"/>
  <c r="H291" i="29"/>
  <c r="R291" i="29"/>
  <c r="N291" i="29"/>
  <c r="M290" i="29"/>
  <c r="K290" i="29"/>
  <c r="H290" i="29"/>
  <c r="E290" i="29"/>
  <c r="O290" i="29"/>
  <c r="P290" i="29"/>
  <c r="L290" i="29"/>
  <c r="E281" i="29"/>
  <c r="N290" i="29"/>
  <c r="J290" i="29"/>
  <c r="H293" i="29"/>
  <c r="R290" i="29"/>
  <c r="Q290" i="29"/>
  <c r="I290" i="29"/>
  <c r="S290" i="29"/>
  <c r="M366" i="29"/>
  <c r="L230" i="29"/>
  <c r="L366" i="29"/>
  <c r="K230" i="29"/>
  <c r="K229" i="29"/>
  <c r="N185" i="29"/>
  <c r="E176" i="29"/>
  <c r="K185" i="29"/>
  <c r="O185" i="29"/>
  <c r="K168" i="29"/>
  <c r="K166" i="29"/>
  <c r="K167" i="29"/>
  <c r="L159" i="29"/>
  <c r="N145" i="29"/>
  <c r="N350" i="29"/>
  <c r="O138" i="29"/>
  <c r="K40" i="29"/>
  <c r="K41" i="29"/>
  <c r="K42" i="29"/>
  <c r="L33" i="29"/>
  <c r="I104" i="29"/>
  <c r="I105" i="29"/>
  <c r="I103" i="29"/>
  <c r="I342" i="29"/>
  <c r="J96" i="29"/>
  <c r="L229" i="29"/>
  <c r="E185" i="29"/>
  <c r="H185" i="29"/>
  <c r="M145" i="29"/>
  <c r="M350" i="29"/>
  <c r="K63" i="29"/>
  <c r="K61" i="29"/>
  <c r="K62" i="29"/>
  <c r="K334" i="29"/>
  <c r="L54" i="29"/>
  <c r="L231" i="29"/>
  <c r="S186" i="29"/>
  <c r="O186" i="29"/>
  <c r="K186" i="29"/>
  <c r="R186" i="29"/>
  <c r="N186" i="29"/>
  <c r="J186" i="29"/>
  <c r="H186" i="29"/>
  <c r="Q186" i="29"/>
  <c r="M186" i="29"/>
  <c r="I186" i="29"/>
  <c r="P186" i="29"/>
  <c r="L186" i="29"/>
  <c r="J250" i="29"/>
  <c r="J251" i="29"/>
  <c r="J252" i="29"/>
  <c r="J370" i="29"/>
  <c r="K243" i="29"/>
  <c r="K82" i="29"/>
  <c r="K83" i="29"/>
  <c r="K84" i="29"/>
  <c r="L75" i="29"/>
  <c r="J42" i="29"/>
  <c r="J40" i="29"/>
  <c r="J41" i="29"/>
  <c r="J82" i="29"/>
  <c r="J83" i="29"/>
  <c r="J84" i="29"/>
  <c r="J338" i="29"/>
  <c r="I250" i="29"/>
  <c r="I251" i="29"/>
  <c r="I252" i="29"/>
  <c r="I370" i="29"/>
  <c r="Q58" i="21"/>
  <c r="L58" i="13" s="1"/>
  <c r="P18" i="29"/>
  <c r="O56" i="9"/>
  <c r="P56" i="9" s="1"/>
  <c r="L145" i="29"/>
  <c r="L350" i="29"/>
  <c r="K145" i="29"/>
  <c r="K350" i="29"/>
  <c r="K208" i="29"/>
  <c r="L201" i="29"/>
  <c r="J71" i="21"/>
  <c r="J52" i="9"/>
  <c r="K52" i="9" s="1"/>
  <c r="L52" i="9" s="1"/>
  <c r="M52" i="9" s="1"/>
  <c r="N52" i="9" s="1"/>
  <c r="O52" i="9" s="1"/>
  <c r="P52" i="9" s="1"/>
  <c r="B146" i="3"/>
  <c r="B10" i="9"/>
  <c r="J150" i="3"/>
  <c r="H151" i="3"/>
  <c r="I150" i="3"/>
  <c r="K150" i="3"/>
  <c r="P150" i="3"/>
  <c r="O150" i="3"/>
  <c r="M150" i="3"/>
  <c r="S150" i="3"/>
  <c r="S166" i="3" s="1"/>
  <c r="S385" i="29" s="1"/>
  <c r="R150" i="3"/>
  <c r="Q150" i="3"/>
  <c r="S102" i="29"/>
  <c r="O102" i="29"/>
  <c r="K102" i="29"/>
  <c r="R102" i="29"/>
  <c r="N102" i="29"/>
  <c r="J102" i="29"/>
  <c r="H102" i="29"/>
  <c r="Q102" i="29"/>
  <c r="M102" i="29"/>
  <c r="I102" i="29"/>
  <c r="L102" i="29"/>
  <c r="P102" i="29"/>
  <c r="H104" i="29"/>
  <c r="Q249" i="29"/>
  <c r="M249" i="29"/>
  <c r="I249" i="29"/>
  <c r="P249" i="29"/>
  <c r="L249" i="29"/>
  <c r="S249" i="29"/>
  <c r="O249" i="29"/>
  <c r="K249" i="29"/>
  <c r="N249" i="29"/>
  <c r="J249" i="29"/>
  <c r="H249" i="29"/>
  <c r="R249" i="29"/>
  <c r="F54" i="3"/>
  <c r="E64" i="3"/>
  <c r="P21" i="9"/>
  <c r="J21" i="9"/>
  <c r="G59" i="9"/>
  <c r="I35" i="3"/>
  <c r="K35" i="3"/>
  <c r="M35" i="3"/>
  <c r="H35" i="3"/>
  <c r="O35" i="3"/>
  <c r="Q35" i="3"/>
  <c r="J35" i="3"/>
  <c r="R35" i="3"/>
  <c r="P35" i="3"/>
  <c r="N35" i="3"/>
  <c r="J62" i="29"/>
  <c r="J63" i="29"/>
  <c r="J61" i="29"/>
  <c r="J334" i="29"/>
  <c r="J168" i="29"/>
  <c r="J166" i="29"/>
  <c r="J167" i="29"/>
  <c r="J354" i="29"/>
  <c r="J292" i="29"/>
  <c r="J293" i="29"/>
  <c r="J294" i="29"/>
  <c r="J378" i="29"/>
  <c r="K285" i="29"/>
  <c r="P60" i="29"/>
  <c r="L60" i="29"/>
  <c r="S60" i="29"/>
  <c r="O60" i="29"/>
  <c r="K60" i="29"/>
  <c r="R60" i="29"/>
  <c r="N60" i="29"/>
  <c r="J60" i="29"/>
  <c r="I60" i="29"/>
  <c r="Q60" i="29"/>
  <c r="M60" i="29"/>
  <c r="H60" i="29"/>
  <c r="R81" i="29"/>
  <c r="N81" i="29"/>
  <c r="J81" i="29"/>
  <c r="H81" i="29"/>
  <c r="Q81" i="29"/>
  <c r="M81" i="29"/>
  <c r="I81" i="29"/>
  <c r="P81" i="29"/>
  <c r="L81" i="29"/>
  <c r="S81" i="29"/>
  <c r="O81" i="29"/>
  <c r="K81" i="29"/>
  <c r="N20" i="9"/>
  <c r="F32" i="3"/>
  <c r="J20" i="9"/>
  <c r="S165" i="29"/>
  <c r="O165" i="29"/>
  <c r="K165" i="29"/>
  <c r="R165" i="29"/>
  <c r="N165" i="29"/>
  <c r="J165" i="29"/>
  <c r="H165" i="29"/>
  <c r="Q165" i="29"/>
  <c r="M165" i="29"/>
  <c r="I165" i="29"/>
  <c r="P165" i="29"/>
  <c r="L165" i="29"/>
  <c r="G70" i="9"/>
  <c r="L71" i="18"/>
  <c r="L46" i="9"/>
  <c r="M46" i="9" s="1"/>
  <c r="N46" i="9" s="1"/>
  <c r="O46" i="9" s="1"/>
  <c r="P46" i="9" s="1"/>
  <c r="T79" i="29"/>
  <c r="H313" i="29"/>
  <c r="T100" i="29"/>
  <c r="O313" i="29"/>
  <c r="L15" i="9" s="1"/>
  <c r="L16" i="9" s="1"/>
  <c r="T142" i="29"/>
  <c r="T163" i="29"/>
  <c r="I61" i="29"/>
  <c r="I62" i="29"/>
  <c r="I63" i="29"/>
  <c r="J126" i="29"/>
  <c r="J124" i="29"/>
  <c r="J125" i="29"/>
  <c r="J208" i="29"/>
  <c r="K309" i="29"/>
  <c r="L309" i="29" s="1"/>
  <c r="M309" i="29" s="1"/>
  <c r="N309" i="29" s="1"/>
  <c r="O309" i="29" s="1"/>
  <c r="P309" i="29" s="1"/>
  <c r="Q309" i="29" s="1"/>
  <c r="R309" i="29" s="1"/>
  <c r="S309" i="29" s="1"/>
  <c r="H310" i="29" s="1"/>
  <c r="F44" i="12"/>
  <c r="R313" i="29"/>
  <c r="O15" i="9" s="1"/>
  <c r="O16" i="9" s="1"/>
  <c r="J313" i="29"/>
  <c r="G15" i="9" s="1"/>
  <c r="G16" i="9" s="1"/>
  <c r="H370" i="29"/>
  <c r="H369" i="29"/>
  <c r="M369" i="29"/>
  <c r="S369" i="29"/>
  <c r="N369" i="29"/>
  <c r="A1" i="20"/>
  <c r="A1" i="24"/>
  <c r="A1" i="14"/>
  <c r="A1" i="21"/>
  <c r="I41" i="29"/>
  <c r="I42" i="29"/>
  <c r="I40" i="29"/>
  <c r="I84" i="29"/>
  <c r="I82" i="29"/>
  <c r="I83" i="29"/>
  <c r="I125" i="29"/>
  <c r="I126" i="29"/>
  <c r="I124" i="29"/>
  <c r="I168" i="29"/>
  <c r="I167" i="29"/>
  <c r="H273" i="29"/>
  <c r="I264" i="29"/>
  <c r="S39" i="29"/>
  <c r="O39" i="29"/>
  <c r="K39" i="29"/>
  <c r="R39" i="29"/>
  <c r="N39" i="29"/>
  <c r="J39" i="29"/>
  <c r="Q39" i="29"/>
  <c r="M39" i="29"/>
  <c r="I39" i="29"/>
  <c r="L39" i="29"/>
  <c r="P39" i="29"/>
  <c r="H39" i="29"/>
  <c r="Q9" i="9"/>
  <c r="G50" i="28"/>
  <c r="K41" i="31"/>
  <c r="E196" i="29" s="1"/>
  <c r="J209" i="29" s="1"/>
  <c r="S361" i="29"/>
  <c r="N361" i="29"/>
  <c r="I361" i="29"/>
  <c r="I334" i="29"/>
  <c r="J145" i="29"/>
  <c r="B15" i="21"/>
  <c r="B25" i="21" s="1"/>
  <c r="B41" i="31"/>
  <c r="E133" i="29" s="1"/>
  <c r="N147" i="29" s="1"/>
  <c r="H349" i="29"/>
  <c r="K349" i="29"/>
  <c r="P349" i="29"/>
  <c r="Q349" i="29"/>
  <c r="I166" i="29"/>
  <c r="F50" i="28"/>
  <c r="K313" i="29"/>
  <c r="H15" i="9" s="1"/>
  <c r="H16" i="9" s="1"/>
  <c r="T268" i="29"/>
  <c r="I313" i="29"/>
  <c r="F15" i="9" s="1"/>
  <c r="F16" i="9" s="1"/>
  <c r="E63" i="3"/>
  <c r="M57" i="3"/>
  <c r="R57" i="3"/>
  <c r="P57" i="3"/>
  <c r="N57" i="3"/>
  <c r="S57" i="3"/>
  <c r="P270" i="29"/>
  <c r="L270" i="29"/>
  <c r="S270" i="29"/>
  <c r="O270" i="29"/>
  <c r="K270" i="29"/>
  <c r="R270" i="29"/>
  <c r="N270" i="29"/>
  <c r="J270" i="29"/>
  <c r="H270" i="29"/>
  <c r="M270" i="29"/>
  <c r="I270" i="29"/>
  <c r="Q270" i="29"/>
  <c r="H168" i="29"/>
  <c r="H210" i="29"/>
  <c r="I34" i="7"/>
  <c r="Q20" i="22"/>
  <c r="K75" i="8"/>
  <c r="I71" i="9" s="1"/>
  <c r="I75" i="8"/>
  <c r="G71" i="9" s="1"/>
  <c r="P55" i="8"/>
  <c r="N70" i="9" s="1"/>
  <c r="Q11" i="9"/>
  <c r="F11" i="13" s="1"/>
  <c r="G24" i="28"/>
  <c r="H24" i="28" s="1"/>
  <c r="T205" i="29"/>
  <c r="L313" i="29"/>
  <c r="I15" i="9" s="1"/>
  <c r="I16" i="9" s="1"/>
  <c r="O57" i="3"/>
  <c r="K125" i="3"/>
  <c r="G14" i="18"/>
  <c r="S313" i="29"/>
  <c r="P15" i="9" s="1"/>
  <c r="P16" i="9" s="1"/>
  <c r="S123" i="29"/>
  <c r="O123" i="29"/>
  <c r="K123" i="29"/>
  <c r="R123" i="29"/>
  <c r="N123" i="29"/>
  <c r="J123" i="29"/>
  <c r="H123" i="29"/>
  <c r="Q123" i="29"/>
  <c r="M123" i="29"/>
  <c r="I123" i="29"/>
  <c r="L123" i="29"/>
  <c r="P123" i="29"/>
  <c r="H63" i="29"/>
  <c r="I188" i="29"/>
  <c r="I189" i="29"/>
  <c r="J180" i="29"/>
  <c r="H19" i="29"/>
  <c r="I12" i="29"/>
  <c r="H42" i="29"/>
  <c r="H84" i="29"/>
  <c r="H126" i="29"/>
  <c r="I208" i="29"/>
  <c r="I292" i="29"/>
  <c r="I293" i="29"/>
  <c r="I294" i="29"/>
  <c r="H189" i="29"/>
  <c r="H252" i="29"/>
  <c r="H294" i="29"/>
  <c r="Q79" i="3"/>
  <c r="T79" i="3" s="1"/>
  <c r="H105" i="29"/>
  <c r="K57" i="8" l="1"/>
  <c r="L57" i="8" s="1"/>
  <c r="M57" i="8" s="1"/>
  <c r="N57" i="8" s="1"/>
  <c r="O57" i="8" s="1"/>
  <c r="P57" i="8" s="1"/>
  <c r="Q57" i="8" s="1"/>
  <c r="R57" i="8" s="1"/>
  <c r="S84" i="8"/>
  <c r="S80" i="8"/>
  <c r="S76" i="8"/>
  <c r="S79" i="8"/>
  <c r="J40" i="7" s="1"/>
  <c r="Q71" i="18"/>
  <c r="I74" i="13" s="1"/>
  <c r="S59" i="8"/>
  <c r="J39" i="7" s="1"/>
  <c r="Q70" i="18"/>
  <c r="I73" i="13" s="1"/>
  <c r="S60" i="8"/>
  <c r="S64" i="8"/>
  <c r="S56" i="8"/>
  <c r="H68" i="18"/>
  <c r="P68" i="21"/>
  <c r="F68" i="21"/>
  <c r="O68" i="18"/>
  <c r="G68" i="18"/>
  <c r="K68" i="21"/>
  <c r="N68" i="18"/>
  <c r="F68" i="18"/>
  <c r="N68" i="21"/>
  <c r="M68" i="18"/>
  <c r="E68" i="18"/>
  <c r="E68" i="21"/>
  <c r="L68" i="21"/>
  <c r="S95" i="8"/>
  <c r="I41" i="7" s="1"/>
  <c r="I97" i="8"/>
  <c r="J97" i="8" s="1"/>
  <c r="K97" i="8" s="1"/>
  <c r="L97" i="8" s="1"/>
  <c r="M97" i="8" s="1"/>
  <c r="N97" i="8" s="1"/>
  <c r="O97" i="8" s="1"/>
  <c r="P97" i="8" s="1"/>
  <c r="Q97" i="8" s="1"/>
  <c r="R97" i="8" s="1"/>
  <c r="G101" i="8" s="1"/>
  <c r="H101" i="8" s="1"/>
  <c r="I101" i="8" s="1"/>
  <c r="J101" i="8" s="1"/>
  <c r="K101" i="8" s="1"/>
  <c r="L101" i="8" s="1"/>
  <c r="M101" i="8" s="1"/>
  <c r="N101" i="8" s="1"/>
  <c r="O101" i="8" s="1"/>
  <c r="P101" i="8" s="1"/>
  <c r="Q101" i="8" s="1"/>
  <c r="R101" i="8" s="1"/>
  <c r="S104" i="8"/>
  <c r="Q72" i="9"/>
  <c r="F75" i="13" s="1"/>
  <c r="S103" i="8"/>
  <c r="K41" i="7" s="1"/>
  <c r="S96" i="8"/>
  <c r="K14" i="7"/>
  <c r="E43" i="21" s="1"/>
  <c r="E43" i="18"/>
  <c r="K24" i="7"/>
  <c r="E53" i="21" s="1"/>
  <c r="F53" i="21" s="1"/>
  <c r="G53" i="21" s="1"/>
  <c r="H53" i="21" s="1"/>
  <c r="I53" i="21" s="1"/>
  <c r="J53" i="21" s="1"/>
  <c r="K53" i="21" s="1"/>
  <c r="L53" i="21" s="1"/>
  <c r="M53" i="21" s="1"/>
  <c r="N53" i="21" s="1"/>
  <c r="O53" i="21" s="1"/>
  <c r="P53" i="21" s="1"/>
  <c r="E53" i="18"/>
  <c r="F53" i="18" s="1"/>
  <c r="G53" i="18" s="1"/>
  <c r="H53" i="18" s="1"/>
  <c r="I53" i="18" s="1"/>
  <c r="J53" i="18" s="1"/>
  <c r="K53" i="18" s="1"/>
  <c r="L53" i="18" s="1"/>
  <c r="M53" i="18" s="1"/>
  <c r="N53" i="18" s="1"/>
  <c r="O53" i="18" s="1"/>
  <c r="P53" i="18" s="1"/>
  <c r="J346" i="29"/>
  <c r="K117" i="29"/>
  <c r="Q23" i="9"/>
  <c r="F23" i="13" s="1"/>
  <c r="I209" i="29"/>
  <c r="I210" i="29"/>
  <c r="Q71" i="9"/>
  <c r="F74" i="13" s="1"/>
  <c r="Q166" i="3"/>
  <c r="Q385" i="29" s="1"/>
  <c r="O166" i="3"/>
  <c r="O385" i="29" s="1"/>
  <c r="N166" i="3"/>
  <c r="N385" i="29" s="1"/>
  <c r="Q72" i="21"/>
  <c r="L75" i="13" s="1"/>
  <c r="G41" i="7"/>
  <c r="S99" i="8"/>
  <c r="J41" i="7" s="1"/>
  <c r="F72" i="18"/>
  <c r="Q72" i="18" s="1"/>
  <c r="I75" i="13" s="1"/>
  <c r="L59" i="3"/>
  <c r="H20" i="18"/>
  <c r="J147" i="3"/>
  <c r="J167" i="3" s="1"/>
  <c r="J386" i="29" s="1"/>
  <c r="K147" i="3"/>
  <c r="G10" i="18"/>
  <c r="L37" i="3"/>
  <c r="L147" i="3" s="1"/>
  <c r="G20" i="18"/>
  <c r="B13" i="13"/>
  <c r="B22" i="18"/>
  <c r="B12" i="21"/>
  <c r="B22" i="21" s="1"/>
  <c r="B21" i="18"/>
  <c r="L22" i="9"/>
  <c r="J31" i="7"/>
  <c r="Q42" i="9"/>
  <c r="F42" i="13" s="1"/>
  <c r="P35" i="8"/>
  <c r="N68" i="9" s="1"/>
  <c r="Q64" i="18"/>
  <c r="I67" i="13" s="1"/>
  <c r="F18" i="23"/>
  <c r="I18" i="23" s="1"/>
  <c r="I23" i="20"/>
  <c r="J68" i="18"/>
  <c r="K36" i="8"/>
  <c r="O35" i="8"/>
  <c r="M68" i="9" s="1"/>
  <c r="Q45" i="9"/>
  <c r="F45" i="13" s="1"/>
  <c r="Q57" i="9"/>
  <c r="F57" i="13" s="1"/>
  <c r="O12" i="11"/>
  <c r="H167" i="3"/>
  <c r="H386" i="29" s="1"/>
  <c r="I166" i="3"/>
  <c r="I385" i="29" s="1"/>
  <c r="L166" i="3"/>
  <c r="L385" i="29" s="1"/>
  <c r="M166" i="3"/>
  <c r="M385" i="29" s="1"/>
  <c r="J166" i="3"/>
  <c r="J385" i="29" s="1"/>
  <c r="L12" i="11"/>
  <c r="E22" i="18"/>
  <c r="P166" i="3"/>
  <c r="P385" i="29" s="1"/>
  <c r="F22" i="9"/>
  <c r="F22" i="18"/>
  <c r="N22" i="9"/>
  <c r="K166" i="3"/>
  <c r="K385" i="29" s="1"/>
  <c r="B14" i="13"/>
  <c r="B14" i="18"/>
  <c r="B24" i="9"/>
  <c r="B24" i="13" s="1"/>
  <c r="H22" i="9"/>
  <c r="O22" i="9"/>
  <c r="E86" i="3"/>
  <c r="E87" i="3" s="1"/>
  <c r="J22" i="9"/>
  <c r="Q64" i="9"/>
  <c r="L35" i="8"/>
  <c r="J68" i="9" s="1"/>
  <c r="L68" i="18"/>
  <c r="G35" i="8"/>
  <c r="E68" i="9" s="1"/>
  <c r="I35" i="8"/>
  <c r="G68" i="9" s="1"/>
  <c r="M35" i="8"/>
  <c r="K68" i="9" s="1"/>
  <c r="P68" i="18"/>
  <c r="E57" i="21"/>
  <c r="F57" i="21" s="1"/>
  <c r="G57" i="21" s="1"/>
  <c r="H57" i="21" s="1"/>
  <c r="I57" i="21" s="1"/>
  <c r="J57" i="21" s="1"/>
  <c r="K57" i="21" s="1"/>
  <c r="L57" i="21" s="1"/>
  <c r="M57" i="21" s="1"/>
  <c r="N57" i="21" s="1"/>
  <c r="O57" i="21" s="1"/>
  <c r="P57" i="21" s="1"/>
  <c r="E57" i="18"/>
  <c r="T185" i="29"/>
  <c r="I167" i="3"/>
  <c r="I386" i="29" s="1"/>
  <c r="H13" i="18"/>
  <c r="K159" i="3"/>
  <c r="H23" i="18"/>
  <c r="L103" i="3"/>
  <c r="T80" i="29"/>
  <c r="E48" i="21"/>
  <c r="F48" i="21" s="1"/>
  <c r="G48" i="21" s="1"/>
  <c r="H48" i="21" s="1"/>
  <c r="I48" i="21" s="1"/>
  <c r="J48" i="21" s="1"/>
  <c r="K48" i="21" s="1"/>
  <c r="L48" i="21" s="1"/>
  <c r="M48" i="21" s="1"/>
  <c r="N48" i="21" s="1"/>
  <c r="O48" i="21" s="1"/>
  <c r="P48" i="21" s="1"/>
  <c r="Q48" i="21" s="1"/>
  <c r="L48" i="13" s="1"/>
  <c r="E48" i="18"/>
  <c r="F48" i="18" s="1"/>
  <c r="G48" i="18" s="1"/>
  <c r="H48" i="18" s="1"/>
  <c r="I48" i="18" s="1"/>
  <c r="J48" i="18" s="1"/>
  <c r="K48" i="18" s="1"/>
  <c r="L48" i="18" s="1"/>
  <c r="M48" i="18" s="1"/>
  <c r="N48" i="18" s="1"/>
  <c r="O48" i="18" s="1"/>
  <c r="P48" i="18" s="1"/>
  <c r="Q46" i="9"/>
  <c r="F46" i="13" s="1"/>
  <c r="Q71" i="21"/>
  <c r="L74" i="13" s="1"/>
  <c r="Q50" i="9"/>
  <c r="F50" i="13" s="1"/>
  <c r="T248" i="29"/>
  <c r="T227" i="29"/>
  <c r="J147" i="29"/>
  <c r="H147" i="29"/>
  <c r="I147" i="29"/>
  <c r="I146" i="29"/>
  <c r="J146" i="29"/>
  <c r="N146" i="29"/>
  <c r="T164" i="29"/>
  <c r="T101" i="29"/>
  <c r="T38" i="29"/>
  <c r="H331" i="29"/>
  <c r="K155" i="3"/>
  <c r="H12" i="18"/>
  <c r="L81" i="3"/>
  <c r="F76" i="3"/>
  <c r="E22" i="9"/>
  <c r="I22" i="9"/>
  <c r="E77" i="3"/>
  <c r="F77" i="3" s="1"/>
  <c r="P22" i="9"/>
  <c r="G22" i="18"/>
  <c r="M22" i="9"/>
  <c r="K22" i="9"/>
  <c r="H22" i="18"/>
  <c r="R166" i="3"/>
  <c r="R385" i="29" s="1"/>
  <c r="T57" i="3"/>
  <c r="G19" i="18"/>
  <c r="G9" i="18"/>
  <c r="K15" i="3"/>
  <c r="Q19" i="9"/>
  <c r="F19" i="13" s="1"/>
  <c r="B19" i="18"/>
  <c r="B19" i="21" s="1"/>
  <c r="B9" i="21"/>
  <c r="Q24" i="9"/>
  <c r="F24" i="13" s="1"/>
  <c r="Q24" i="21"/>
  <c r="L24" i="13" s="1"/>
  <c r="Q21" i="9"/>
  <c r="F21" i="13" s="1"/>
  <c r="Q45" i="21"/>
  <c r="L45" i="13" s="1"/>
  <c r="Q46" i="21"/>
  <c r="L46" i="13" s="1"/>
  <c r="F59" i="21"/>
  <c r="G59" i="21" s="1"/>
  <c r="H59" i="21" s="1"/>
  <c r="I59" i="21" s="1"/>
  <c r="J59" i="21" s="1"/>
  <c r="K59" i="21" s="1"/>
  <c r="L59" i="21" s="1"/>
  <c r="M59" i="21" s="1"/>
  <c r="N59" i="21" s="1"/>
  <c r="O59" i="21" s="1"/>
  <c r="P59" i="21" s="1"/>
  <c r="Q59" i="18"/>
  <c r="I59" i="13" s="1"/>
  <c r="F44" i="18"/>
  <c r="Q56" i="9"/>
  <c r="F56" i="13" s="1"/>
  <c r="Q44" i="21"/>
  <c r="L44" i="13" s="1"/>
  <c r="Q52" i="18"/>
  <c r="I52" i="13" s="1"/>
  <c r="Q45" i="18"/>
  <c r="I45" i="13" s="1"/>
  <c r="F40" i="21"/>
  <c r="G40" i="21" s="1"/>
  <c r="H40" i="21" s="1"/>
  <c r="I40" i="21" s="1"/>
  <c r="J40" i="21" s="1"/>
  <c r="K40" i="21" s="1"/>
  <c r="L40" i="21" s="1"/>
  <c r="M40" i="21" s="1"/>
  <c r="N40" i="21" s="1"/>
  <c r="O40" i="21" s="1"/>
  <c r="P40" i="21" s="1"/>
  <c r="Q48" i="9"/>
  <c r="F48" i="13" s="1"/>
  <c r="Q42" i="21"/>
  <c r="L42" i="13" s="1"/>
  <c r="Q54" i="9"/>
  <c r="F54" i="13" s="1"/>
  <c r="Q47" i="18"/>
  <c r="I47" i="13" s="1"/>
  <c r="B147" i="28"/>
  <c r="F31" i="18"/>
  <c r="D101" i="28"/>
  <c r="Q64" i="21"/>
  <c r="L67" i="13" s="1"/>
  <c r="I50" i="1"/>
  <c r="E48" i="1" s="1"/>
  <c r="E9" i="8"/>
  <c r="L45" i="1"/>
  <c r="L50" i="1" s="1"/>
  <c r="F31" i="12"/>
  <c r="F37" i="12" s="1"/>
  <c r="F46" i="12" s="1"/>
  <c r="L36" i="8"/>
  <c r="J68" i="21"/>
  <c r="I68" i="18"/>
  <c r="H36" i="8"/>
  <c r="N36" i="8"/>
  <c r="I36" i="8"/>
  <c r="O68" i="21"/>
  <c r="G36" i="8"/>
  <c r="G37" i="8" s="1"/>
  <c r="Q35" i="8"/>
  <c r="O68" i="9" s="1"/>
  <c r="H35" i="8"/>
  <c r="F68" i="9" s="1"/>
  <c r="H68" i="21"/>
  <c r="N35" i="8"/>
  <c r="L68" i="9" s="1"/>
  <c r="K35" i="8"/>
  <c r="I68" i="9" s="1"/>
  <c r="J35" i="8"/>
  <c r="H68" i="9" s="1"/>
  <c r="Q36" i="8"/>
  <c r="P36" i="8"/>
  <c r="M36" i="8"/>
  <c r="E32" i="8"/>
  <c r="K68" i="18"/>
  <c r="M68" i="21"/>
  <c r="R35" i="8"/>
  <c r="P68" i="9" s="1"/>
  <c r="J36" i="8"/>
  <c r="O36" i="8"/>
  <c r="G68" i="21"/>
  <c r="I68" i="21"/>
  <c r="R36" i="8"/>
  <c r="H66" i="28"/>
  <c r="K32" i="9" s="1"/>
  <c r="E66" i="28"/>
  <c r="H32" i="9" s="1"/>
  <c r="C66" i="28"/>
  <c r="F32" i="9" s="1"/>
  <c r="D66" i="28"/>
  <c r="G32" i="9" s="1"/>
  <c r="F66" i="28"/>
  <c r="I32" i="9" s="1"/>
  <c r="I66" i="28"/>
  <c r="L32" i="9" s="1"/>
  <c r="G66" i="28"/>
  <c r="J32" i="9" s="1"/>
  <c r="D85" i="28"/>
  <c r="G33" i="9" s="1"/>
  <c r="G85" i="28"/>
  <c r="J33" i="9" s="1"/>
  <c r="I85" i="28"/>
  <c r="L33" i="9" s="1"/>
  <c r="J85" i="28"/>
  <c r="M33" i="9" s="1"/>
  <c r="H85" i="28"/>
  <c r="K33" i="9" s="1"/>
  <c r="F85" i="28"/>
  <c r="I33" i="9" s="1"/>
  <c r="M85" i="28"/>
  <c r="P33" i="9" s="1"/>
  <c r="E85" i="28"/>
  <c r="H33" i="9" s="1"/>
  <c r="L85" i="28"/>
  <c r="O33" i="9" s="1"/>
  <c r="K85" i="28"/>
  <c r="N33" i="9" s="1"/>
  <c r="E36" i="9"/>
  <c r="D55" i="28"/>
  <c r="F31" i="9"/>
  <c r="H50" i="28"/>
  <c r="Q21" i="6"/>
  <c r="E35" i="21" s="1"/>
  <c r="F35" i="21" s="1"/>
  <c r="G35" i="21" s="1"/>
  <c r="H35" i="21" s="1"/>
  <c r="I35" i="21" s="1"/>
  <c r="J35" i="21" s="1"/>
  <c r="K35" i="21" s="1"/>
  <c r="L35" i="21" s="1"/>
  <c r="M35" i="21" s="1"/>
  <c r="N35" i="21" s="1"/>
  <c r="O35" i="21" s="1"/>
  <c r="P35" i="21" s="1"/>
  <c r="L125" i="3"/>
  <c r="H14" i="18"/>
  <c r="K163" i="3"/>
  <c r="H24" i="18"/>
  <c r="N229" i="29"/>
  <c r="N366" i="29"/>
  <c r="N230" i="29"/>
  <c r="O222" i="29"/>
  <c r="N231" i="29"/>
  <c r="M40" i="9"/>
  <c r="I20" i="18"/>
  <c r="M37" i="3"/>
  <c r="K41" i="9"/>
  <c r="O65" i="18"/>
  <c r="I272" i="29"/>
  <c r="I271" i="29"/>
  <c r="I273" i="29"/>
  <c r="J264" i="29"/>
  <c r="I374" i="29"/>
  <c r="N12" i="11"/>
  <c r="N15" i="11" s="1"/>
  <c r="L11" i="11"/>
  <c r="M12" i="11"/>
  <c r="M15" i="11" s="1"/>
  <c r="G44" i="18"/>
  <c r="P11" i="11"/>
  <c r="J34" i="7"/>
  <c r="E65" i="3"/>
  <c r="R207" i="29"/>
  <c r="N207" i="29"/>
  <c r="J207" i="29"/>
  <c r="H207" i="29"/>
  <c r="Q207" i="29"/>
  <c r="M207" i="29"/>
  <c r="I207" i="29"/>
  <c r="P207" i="29"/>
  <c r="L207" i="29"/>
  <c r="O207" i="29"/>
  <c r="K207" i="29"/>
  <c r="S207" i="29"/>
  <c r="N206" i="29"/>
  <c r="Q206" i="29"/>
  <c r="I206" i="29"/>
  <c r="L206" i="29"/>
  <c r="O206" i="29"/>
  <c r="E197" i="29"/>
  <c r="J206" i="29"/>
  <c r="P206" i="29"/>
  <c r="R206" i="29"/>
  <c r="K206" i="29"/>
  <c r="S206" i="29"/>
  <c r="M206" i="29"/>
  <c r="H209" i="29"/>
  <c r="E206" i="29"/>
  <c r="H206" i="29"/>
  <c r="F9" i="13"/>
  <c r="J210" i="29"/>
  <c r="G81" i="8"/>
  <c r="H81" i="8" s="1"/>
  <c r="I81" i="8" s="1"/>
  <c r="J81" i="8" s="1"/>
  <c r="K81" i="8" s="1"/>
  <c r="L81" i="8" s="1"/>
  <c r="M81" i="8" s="1"/>
  <c r="N81" i="8" s="1"/>
  <c r="O81" i="8" s="1"/>
  <c r="P81" i="8" s="1"/>
  <c r="Q81" i="8" s="1"/>
  <c r="R81" i="8" s="1"/>
  <c r="I34" i="12"/>
  <c r="F34" i="20" s="1"/>
  <c r="T35" i="3"/>
  <c r="H59" i="9"/>
  <c r="G60" i="9"/>
  <c r="Q52" i="9"/>
  <c r="F52" i="13" s="1"/>
  <c r="T309" i="29"/>
  <c r="K210" i="29"/>
  <c r="K147" i="29"/>
  <c r="L147" i="29"/>
  <c r="Q48" i="18"/>
  <c r="I48" i="13" s="1"/>
  <c r="J105" i="29"/>
  <c r="J103" i="29"/>
  <c r="J104" i="29"/>
  <c r="J342" i="29"/>
  <c r="K96" i="29"/>
  <c r="L168" i="29"/>
  <c r="L166" i="29"/>
  <c r="L167" i="29"/>
  <c r="M159" i="29"/>
  <c r="L354" i="29"/>
  <c r="T290" i="29"/>
  <c r="Q52" i="21"/>
  <c r="L52" i="13" s="1"/>
  <c r="Q53" i="21"/>
  <c r="L53" i="13" s="1"/>
  <c r="K41" i="18"/>
  <c r="Q53" i="9"/>
  <c r="F53" i="13" s="1"/>
  <c r="Q51" i="21"/>
  <c r="L51" i="13" s="1"/>
  <c r="F67" i="13"/>
  <c r="Q50" i="18"/>
  <c r="I50" i="13" s="1"/>
  <c r="Q55" i="21"/>
  <c r="L55" i="13" s="1"/>
  <c r="O65" i="9"/>
  <c r="J189" i="29"/>
  <c r="J187" i="29"/>
  <c r="J188" i="29"/>
  <c r="K180" i="29"/>
  <c r="J358" i="29"/>
  <c r="G38" i="28"/>
  <c r="H38" i="28"/>
  <c r="H11" i="11"/>
  <c r="I12" i="11"/>
  <c r="J12" i="29"/>
  <c r="I20" i="29"/>
  <c r="I326" i="29"/>
  <c r="I19" i="29"/>
  <c r="I21" i="29"/>
  <c r="I11" i="11"/>
  <c r="K12" i="11"/>
  <c r="K15" i="11" s="1"/>
  <c r="J12" i="11"/>
  <c r="J15" i="11" s="1"/>
  <c r="F11" i="11"/>
  <c r="S75" i="8"/>
  <c r="H12" i="11"/>
  <c r="G11" i="11"/>
  <c r="E15" i="9"/>
  <c r="T313" i="29"/>
  <c r="S55" i="8"/>
  <c r="K209" i="29"/>
  <c r="K146" i="29"/>
  <c r="L146" i="29"/>
  <c r="G61" i="8"/>
  <c r="H61" i="8" s="1"/>
  <c r="I61" i="8" s="1"/>
  <c r="J61" i="8" s="1"/>
  <c r="K61" i="8" s="1"/>
  <c r="L61" i="8" s="1"/>
  <c r="M61" i="8" s="1"/>
  <c r="N61" i="8" s="1"/>
  <c r="O61" i="8" s="1"/>
  <c r="P61" i="8" s="1"/>
  <c r="Q61" i="8" s="1"/>
  <c r="R61" i="8" s="1"/>
  <c r="I33" i="12"/>
  <c r="F33" i="20" s="1"/>
  <c r="L83" i="29"/>
  <c r="L84" i="29"/>
  <c r="L82" i="29"/>
  <c r="M75" i="29"/>
  <c r="L338" i="29"/>
  <c r="M147" i="29"/>
  <c r="L40" i="29"/>
  <c r="L41" i="29"/>
  <c r="L42" i="29"/>
  <c r="M33" i="29"/>
  <c r="O145" i="29"/>
  <c r="O146" i="29"/>
  <c r="O147" i="29"/>
  <c r="O350" i="29"/>
  <c r="P138" i="29"/>
  <c r="I21" i="18"/>
  <c r="M59" i="3"/>
  <c r="I11" i="18"/>
  <c r="L151" i="3"/>
  <c r="H41" i="21"/>
  <c r="F23" i="23"/>
  <c r="I21" i="23"/>
  <c r="I23" i="23" s="1"/>
  <c r="P40" i="18"/>
  <c r="I316" i="29"/>
  <c r="F15" i="18" s="1"/>
  <c r="F16" i="18" s="1"/>
  <c r="Q20" i="9"/>
  <c r="K293" i="29"/>
  <c r="K294" i="29"/>
  <c r="K292" i="29"/>
  <c r="L285" i="29"/>
  <c r="K378" i="29"/>
  <c r="E70" i="21"/>
  <c r="Q70" i="21" s="1"/>
  <c r="L73" i="13" s="1"/>
  <c r="S63" i="8"/>
  <c r="K39" i="7" s="1"/>
  <c r="H318" i="29"/>
  <c r="H382" i="29" s="1"/>
  <c r="H390" i="29" s="1"/>
  <c r="H316" i="29"/>
  <c r="S144" i="29"/>
  <c r="S315" i="29" s="1"/>
  <c r="S381" i="29" s="1"/>
  <c r="S389" i="29" s="1"/>
  <c r="O144" i="29"/>
  <c r="O315" i="29" s="1"/>
  <c r="O381" i="29" s="1"/>
  <c r="O389" i="29" s="1"/>
  <c r="K144" i="29"/>
  <c r="R144" i="29"/>
  <c r="R315" i="29" s="1"/>
  <c r="R381" i="29" s="1"/>
  <c r="N144" i="29"/>
  <c r="J144" i="29"/>
  <c r="H144" i="29"/>
  <c r="H315" i="29" s="1"/>
  <c r="H381" i="29" s="1"/>
  <c r="H389" i="29" s="1"/>
  <c r="Q144" i="29"/>
  <c r="Q315" i="29" s="1"/>
  <c r="Q381" i="29" s="1"/>
  <c r="Q389" i="29" s="1"/>
  <c r="M144" i="29"/>
  <c r="M315" i="29" s="1"/>
  <c r="M381" i="29" s="1"/>
  <c r="I144" i="29"/>
  <c r="I315" i="29" s="1"/>
  <c r="I381" i="29" s="1"/>
  <c r="P144" i="29"/>
  <c r="L144" i="29"/>
  <c r="L315" i="29" s="1"/>
  <c r="L381" i="29" s="1"/>
  <c r="I143" i="29"/>
  <c r="I314" i="29" s="1"/>
  <c r="F25" i="9" s="1"/>
  <c r="F26" i="9" s="1"/>
  <c r="E134" i="29"/>
  <c r="K143" i="29"/>
  <c r="K314" i="29" s="1"/>
  <c r="H25" i="9" s="1"/>
  <c r="J143" i="29"/>
  <c r="J314" i="29" s="1"/>
  <c r="G25" i="9" s="1"/>
  <c r="G26" i="9" s="1"/>
  <c r="R143" i="29"/>
  <c r="E143" i="29"/>
  <c r="M143" i="29"/>
  <c r="H143" i="29"/>
  <c r="H314" i="29" s="1"/>
  <c r="L143" i="29"/>
  <c r="L314" i="29" s="1"/>
  <c r="I25" i="9" s="1"/>
  <c r="I26" i="9" s="1"/>
  <c r="N143" i="29"/>
  <c r="O143" i="29"/>
  <c r="S143" i="29"/>
  <c r="S314" i="29" s="1"/>
  <c r="P25" i="9" s="1"/>
  <c r="H146" i="29"/>
  <c r="Q143" i="29"/>
  <c r="P143" i="29"/>
  <c r="P314" i="29" s="1"/>
  <c r="M25" i="9" s="1"/>
  <c r="O11" i="11"/>
  <c r="O15" i="11" s="1"/>
  <c r="P12" i="11"/>
  <c r="E12" i="19"/>
  <c r="I310" i="29"/>
  <c r="J310" i="29" s="1"/>
  <c r="K310" i="29" s="1"/>
  <c r="L310" i="29" s="1"/>
  <c r="M310" i="29" s="1"/>
  <c r="N310" i="29" s="1"/>
  <c r="O310" i="29" s="1"/>
  <c r="P310" i="29" s="1"/>
  <c r="Q310" i="29" s="1"/>
  <c r="R310" i="29" s="1"/>
  <c r="S310" i="29" s="1"/>
  <c r="Q70" i="9"/>
  <c r="F73" i="13" s="1"/>
  <c r="B10" i="13"/>
  <c r="B20" i="9"/>
  <c r="B20" i="13" s="1"/>
  <c r="B10" i="18"/>
  <c r="S83" i="8"/>
  <c r="K40" i="7" s="1"/>
  <c r="L210" i="29"/>
  <c r="L208" i="29"/>
  <c r="L209" i="29"/>
  <c r="L362" i="29"/>
  <c r="M201" i="29"/>
  <c r="K251" i="29"/>
  <c r="K252" i="29"/>
  <c r="K250" i="29"/>
  <c r="L243" i="29"/>
  <c r="K370" i="29"/>
  <c r="L61" i="29"/>
  <c r="L62" i="29"/>
  <c r="L63" i="29"/>
  <c r="L334" i="29"/>
  <c r="M54" i="29"/>
  <c r="M146" i="29"/>
  <c r="Q35" i="18"/>
  <c r="I35" i="13" s="1"/>
  <c r="Q314" i="29"/>
  <c r="N25" i="9" s="1"/>
  <c r="N314" i="29"/>
  <c r="K25" i="9" s="1"/>
  <c r="O314" i="29"/>
  <c r="L25" i="9" s="1"/>
  <c r="M314" i="29"/>
  <c r="J25" i="9" s="1"/>
  <c r="J315" i="29"/>
  <c r="J381" i="29" s="1"/>
  <c r="F49" i="21"/>
  <c r="Q51" i="18"/>
  <c r="I51" i="13" s="1"/>
  <c r="Q53" i="18"/>
  <c r="I53" i="13" s="1"/>
  <c r="Q51" i="9"/>
  <c r="F51" i="13" s="1"/>
  <c r="Q56" i="21"/>
  <c r="L56" i="13" s="1"/>
  <c r="P67" i="18" l="1"/>
  <c r="J67" i="18"/>
  <c r="M67" i="18"/>
  <c r="E46" i="1"/>
  <c r="E47" i="1"/>
  <c r="L67" i="18"/>
  <c r="H67" i="18"/>
  <c r="P67" i="21"/>
  <c r="H67" i="21"/>
  <c r="O67" i="21"/>
  <c r="K67" i="18"/>
  <c r="G67" i="18"/>
  <c r="K67" i="21"/>
  <c r="N67" i="18"/>
  <c r="F67" i="18"/>
  <c r="N67" i="21"/>
  <c r="I67" i="18"/>
  <c r="M67" i="21"/>
  <c r="I67" i="21"/>
  <c r="L67" i="21"/>
  <c r="G67" i="21"/>
  <c r="I35" i="12"/>
  <c r="F35" i="20" s="1"/>
  <c r="K346" i="29"/>
  <c r="L117" i="29"/>
  <c r="K126" i="29"/>
  <c r="K124" i="29"/>
  <c r="K125" i="29"/>
  <c r="F43" i="18"/>
  <c r="G43" i="18" s="1"/>
  <c r="H43" i="18" s="1"/>
  <c r="I43" i="18" s="1"/>
  <c r="J43" i="18" s="1"/>
  <c r="K43" i="18" s="1"/>
  <c r="L43" i="18" s="1"/>
  <c r="M43" i="18" s="1"/>
  <c r="N43" i="18" s="1"/>
  <c r="O43" i="18" s="1"/>
  <c r="P43" i="18" s="1"/>
  <c r="Q43" i="18"/>
  <c r="I43" i="13" s="1"/>
  <c r="T310" i="29"/>
  <c r="F43" i="21"/>
  <c r="G43" i="21" s="1"/>
  <c r="H43" i="21" s="1"/>
  <c r="I43" i="21" s="1"/>
  <c r="J43" i="21" s="1"/>
  <c r="K43" i="21" s="1"/>
  <c r="L43" i="21" s="1"/>
  <c r="M43" i="21" s="1"/>
  <c r="N43" i="21" s="1"/>
  <c r="O43" i="21" s="1"/>
  <c r="P43" i="21" s="1"/>
  <c r="E45" i="1"/>
  <c r="E44" i="1"/>
  <c r="L26" i="9"/>
  <c r="L28" i="9" s="1"/>
  <c r="M26" i="9"/>
  <c r="L15" i="11"/>
  <c r="I10" i="18"/>
  <c r="K26" i="9"/>
  <c r="K28" i="9" s="1"/>
  <c r="Q57" i="21"/>
  <c r="L57" i="13" s="1"/>
  <c r="Q59" i="21"/>
  <c r="L59" i="13" s="1"/>
  <c r="E60" i="21"/>
  <c r="E24" i="22" s="1"/>
  <c r="H37" i="8"/>
  <c r="I37" i="8" s="1"/>
  <c r="J37" i="8" s="1"/>
  <c r="K37" i="8" s="1"/>
  <c r="L37" i="8" s="1"/>
  <c r="M37" i="8" s="1"/>
  <c r="N37" i="8" s="1"/>
  <c r="O37" i="8" s="1"/>
  <c r="P37" i="8" s="1"/>
  <c r="Q37" i="8" s="1"/>
  <c r="R37" i="8" s="1"/>
  <c r="K31" i="7"/>
  <c r="L389" i="29"/>
  <c r="I389" i="29"/>
  <c r="M389" i="29"/>
  <c r="J389" i="29"/>
  <c r="N26" i="9"/>
  <c r="N28" i="9" s="1"/>
  <c r="H26" i="9"/>
  <c r="H28" i="9" s="1"/>
  <c r="R389" i="29"/>
  <c r="B14" i="21"/>
  <c r="B24" i="21" s="1"/>
  <c r="B24" i="18"/>
  <c r="P26" i="9"/>
  <c r="P28" i="9" s="1"/>
  <c r="J26" i="9"/>
  <c r="I13" i="18"/>
  <c r="L159" i="3"/>
  <c r="I23" i="18"/>
  <c r="M103" i="3"/>
  <c r="I318" i="29"/>
  <c r="I382" i="29" s="1"/>
  <c r="I390" i="29" s="1"/>
  <c r="F57" i="18"/>
  <c r="R314" i="29"/>
  <c r="O25" i="9" s="1"/>
  <c r="O26" i="9" s="1"/>
  <c r="E60" i="18"/>
  <c r="E24" i="19" s="1"/>
  <c r="I317" i="29"/>
  <c r="F25" i="18" s="1"/>
  <c r="F26" i="18" s="1"/>
  <c r="F28" i="18" s="1"/>
  <c r="P315" i="29"/>
  <c r="P381" i="29" s="1"/>
  <c r="P389" i="29" s="1"/>
  <c r="K315" i="29"/>
  <c r="K381" i="29" s="1"/>
  <c r="K389" i="29" s="1"/>
  <c r="N315" i="29"/>
  <c r="N381" i="29" s="1"/>
  <c r="N389" i="29" s="1"/>
  <c r="L155" i="3"/>
  <c r="M81" i="3"/>
  <c r="I12" i="18"/>
  <c r="I22" i="18"/>
  <c r="Q22" i="9"/>
  <c r="F22" i="13" s="1"/>
  <c r="L15" i="3"/>
  <c r="H9" i="18"/>
  <c r="K143" i="3"/>
  <c r="K167" i="3" s="1"/>
  <c r="K386" i="29" s="1"/>
  <c r="H19" i="18"/>
  <c r="Q40" i="21"/>
  <c r="L40" i="13" s="1"/>
  <c r="G31" i="18"/>
  <c r="E101" i="28"/>
  <c r="C147" i="28"/>
  <c r="E31" i="21"/>
  <c r="S43" i="8"/>
  <c r="K37" i="7" s="1"/>
  <c r="S44" i="8"/>
  <c r="S40" i="8"/>
  <c r="J15" i="8"/>
  <c r="H67" i="9" s="1"/>
  <c r="L15" i="8"/>
  <c r="J67" i="9" s="1"/>
  <c r="N16" i="8"/>
  <c r="M16" i="8"/>
  <c r="G15" i="8"/>
  <c r="O15" i="8"/>
  <c r="M67" i="9" s="1"/>
  <c r="K15" i="8"/>
  <c r="I67" i="9" s="1"/>
  <c r="H15" i="8"/>
  <c r="F67" i="9" s="1"/>
  <c r="G16" i="8"/>
  <c r="P15" i="8"/>
  <c r="N67" i="9" s="1"/>
  <c r="E12" i="8"/>
  <c r="O67" i="18"/>
  <c r="J16" i="8"/>
  <c r="L16" i="8"/>
  <c r="K16" i="8"/>
  <c r="P16" i="8"/>
  <c r="Q15" i="8"/>
  <c r="O67" i="9" s="1"/>
  <c r="R15" i="8"/>
  <c r="P67" i="9" s="1"/>
  <c r="R16" i="8"/>
  <c r="J67" i="21"/>
  <c r="F67" i="21"/>
  <c r="I16" i="8"/>
  <c r="Q16" i="8"/>
  <c r="H16" i="8"/>
  <c r="I15" i="8"/>
  <c r="G67" i="9" s="1"/>
  <c r="O16" i="8"/>
  <c r="M15" i="8"/>
  <c r="K67" i="9" s="1"/>
  <c r="N15" i="8"/>
  <c r="L67" i="9" s="1"/>
  <c r="Q68" i="21"/>
  <c r="L71" i="13" s="1"/>
  <c r="E27" i="19"/>
  <c r="L27" i="19"/>
  <c r="G27" i="11"/>
  <c r="L27" i="11"/>
  <c r="I27" i="22"/>
  <c r="H27" i="11"/>
  <c r="F27" i="19"/>
  <c r="E27" i="22"/>
  <c r="M27" i="22"/>
  <c r="P27" i="19"/>
  <c r="H27" i="22"/>
  <c r="I27" i="11"/>
  <c r="O27" i="19"/>
  <c r="L27" i="22"/>
  <c r="I27" i="19"/>
  <c r="O27" i="22"/>
  <c r="K27" i="22"/>
  <c r="K27" i="19"/>
  <c r="K27" i="11"/>
  <c r="N27" i="22"/>
  <c r="N27" i="11"/>
  <c r="G27" i="22"/>
  <c r="P27" i="11"/>
  <c r="J27" i="11"/>
  <c r="H27" i="19"/>
  <c r="P27" i="22"/>
  <c r="M27" i="11"/>
  <c r="J27" i="22"/>
  <c r="J27" i="19"/>
  <c r="E27" i="11"/>
  <c r="G27" i="19"/>
  <c r="N27" i="19"/>
  <c r="O27" i="11"/>
  <c r="F27" i="11"/>
  <c r="F27" i="22"/>
  <c r="M27" i="19"/>
  <c r="G13" i="26"/>
  <c r="I13" i="26" s="1"/>
  <c r="E41" i="1"/>
  <c r="E50" i="1" s="1"/>
  <c r="F8" i="12"/>
  <c r="F13" i="12" s="1"/>
  <c r="F26" i="12" s="1"/>
  <c r="E8" i="11"/>
  <c r="S35" i="8"/>
  <c r="G37" i="7" s="1"/>
  <c r="S39" i="8"/>
  <c r="J37" i="7" s="1"/>
  <c r="S36" i="8"/>
  <c r="J66" i="28"/>
  <c r="M32" i="9" s="1"/>
  <c r="Q35" i="21"/>
  <c r="L35" i="13" s="1"/>
  <c r="E55" i="28"/>
  <c r="G31" i="9"/>
  <c r="F36" i="9"/>
  <c r="G28" i="9"/>
  <c r="M28" i="9"/>
  <c r="E25" i="9"/>
  <c r="T314" i="29"/>
  <c r="I28" i="9"/>
  <c r="F28" i="9"/>
  <c r="F11" i="19"/>
  <c r="Q40" i="18"/>
  <c r="M151" i="3"/>
  <c r="J21" i="18"/>
  <c r="N59" i="3"/>
  <c r="J11" i="18"/>
  <c r="G40" i="7"/>
  <c r="I40" i="7"/>
  <c r="K187" i="29"/>
  <c r="K188" i="29"/>
  <c r="K189" i="29"/>
  <c r="K358" i="29"/>
  <c r="L180" i="29"/>
  <c r="K103" i="29"/>
  <c r="K104" i="29"/>
  <c r="K105" i="29"/>
  <c r="K342" i="29"/>
  <c r="L96" i="29"/>
  <c r="G24" i="11"/>
  <c r="J273" i="29"/>
  <c r="J271" i="29"/>
  <c r="J272" i="29"/>
  <c r="J374" i="29"/>
  <c r="K264" i="29"/>
  <c r="L41" i="9"/>
  <c r="I14" i="18"/>
  <c r="M125" i="3"/>
  <c r="L163" i="3"/>
  <c r="I24" i="18"/>
  <c r="B20" i="18"/>
  <c r="B10" i="21"/>
  <c r="B20" i="21" s="1"/>
  <c r="Q68" i="9"/>
  <c r="F71" i="13" s="1"/>
  <c r="Q68" i="18"/>
  <c r="I71" i="13" s="1"/>
  <c r="P145" i="29"/>
  <c r="P146" i="29"/>
  <c r="P147" i="29"/>
  <c r="Q138" i="29"/>
  <c r="P350" i="29"/>
  <c r="M84" i="29"/>
  <c r="M82" i="29"/>
  <c r="M83" i="29"/>
  <c r="M338" i="29"/>
  <c r="N75" i="29"/>
  <c r="G39" i="7"/>
  <c r="I39" i="7"/>
  <c r="K12" i="29"/>
  <c r="J326" i="29"/>
  <c r="J19" i="29"/>
  <c r="J21" i="29"/>
  <c r="J20" i="29"/>
  <c r="I59" i="9"/>
  <c r="H60" i="9"/>
  <c r="P15" i="11"/>
  <c r="H44" i="18"/>
  <c r="P65" i="18"/>
  <c r="O229" i="29"/>
  <c r="O231" i="29"/>
  <c r="O366" i="29"/>
  <c r="O230" i="29"/>
  <c r="P222" i="29"/>
  <c r="Q34" i="21"/>
  <c r="L252" i="29"/>
  <c r="L250" i="29"/>
  <c r="L251" i="29"/>
  <c r="M243" i="29"/>
  <c r="L370" i="29"/>
  <c r="T143" i="29"/>
  <c r="L294" i="29"/>
  <c r="L292" i="29"/>
  <c r="L293" i="29"/>
  <c r="M285" i="29"/>
  <c r="L378" i="29"/>
  <c r="M41" i="29"/>
  <c r="M42" i="29"/>
  <c r="M40" i="29"/>
  <c r="N33" i="29"/>
  <c r="I33" i="20"/>
  <c r="F33" i="23" s="1"/>
  <c r="G65" i="8"/>
  <c r="H65" i="8" s="1"/>
  <c r="I65" i="8" s="1"/>
  <c r="J65" i="8" s="1"/>
  <c r="K65" i="8" s="1"/>
  <c r="L65" i="8" s="1"/>
  <c r="M65" i="8" s="1"/>
  <c r="N65" i="8" s="1"/>
  <c r="O65" i="8" s="1"/>
  <c r="P65" i="8" s="1"/>
  <c r="Q65" i="8" s="1"/>
  <c r="R65" i="8" s="1"/>
  <c r="I33" i="23" s="1"/>
  <c r="P65" i="9"/>
  <c r="I34" i="20"/>
  <c r="F34" i="23" s="1"/>
  <c r="G85" i="8"/>
  <c r="H85" i="8" s="1"/>
  <c r="I85" i="8" s="1"/>
  <c r="J85" i="8" s="1"/>
  <c r="K85" i="8" s="1"/>
  <c r="L85" i="8" s="1"/>
  <c r="M85" i="8" s="1"/>
  <c r="N85" i="8" s="1"/>
  <c r="O85" i="8" s="1"/>
  <c r="P85" i="8" s="1"/>
  <c r="Q85" i="8" s="1"/>
  <c r="R85" i="8" s="1"/>
  <c r="I34" i="23" s="1"/>
  <c r="K34" i="7"/>
  <c r="N40" i="9"/>
  <c r="G49" i="21"/>
  <c r="F60" i="21"/>
  <c r="M61" i="29"/>
  <c r="M62" i="29"/>
  <c r="M63" i="29"/>
  <c r="M334" i="29"/>
  <c r="N54" i="29"/>
  <c r="M208" i="29"/>
  <c r="M209" i="29"/>
  <c r="M210" i="29"/>
  <c r="M362" i="29"/>
  <c r="N201" i="29"/>
  <c r="Q34" i="18"/>
  <c r="E15" i="18"/>
  <c r="F20" i="13"/>
  <c r="I41" i="21"/>
  <c r="G105" i="8"/>
  <c r="H105" i="8" s="1"/>
  <c r="I105" i="8" s="1"/>
  <c r="J105" i="8" s="1"/>
  <c r="K105" i="8" s="1"/>
  <c r="L105" i="8" s="1"/>
  <c r="M105" i="8" s="1"/>
  <c r="N105" i="8" s="1"/>
  <c r="O105" i="8" s="1"/>
  <c r="P105" i="8" s="1"/>
  <c r="Q105" i="8" s="1"/>
  <c r="R105" i="8" s="1"/>
  <c r="I35" i="23" s="1"/>
  <c r="I35" i="20"/>
  <c r="F35" i="23" s="1"/>
  <c r="Q15" i="9"/>
  <c r="E16" i="9"/>
  <c r="I15" i="11"/>
  <c r="H15" i="11"/>
  <c r="L41" i="18"/>
  <c r="H317" i="29"/>
  <c r="M168" i="29"/>
  <c r="M167" i="29"/>
  <c r="M166" i="29"/>
  <c r="M354" i="29"/>
  <c r="N159" i="29"/>
  <c r="T206" i="29"/>
  <c r="J20" i="18"/>
  <c r="M147" i="3"/>
  <c r="N37" i="3"/>
  <c r="J10" i="18"/>
  <c r="Q43" i="21" l="1"/>
  <c r="L43" i="13" s="1"/>
  <c r="L125" i="29"/>
  <c r="L124" i="29"/>
  <c r="L346" i="29"/>
  <c r="L126" i="29"/>
  <c r="M117" i="29"/>
  <c r="I21" i="11"/>
  <c r="M21" i="11"/>
  <c r="N21" i="11"/>
  <c r="N50" i="11" s="1"/>
  <c r="N55" i="11" s="1"/>
  <c r="H21" i="11"/>
  <c r="H50" i="11" s="1"/>
  <c r="H55" i="11" s="1"/>
  <c r="P21" i="11"/>
  <c r="P50" i="11" s="1"/>
  <c r="P55" i="11" s="1"/>
  <c r="O21" i="11"/>
  <c r="O50" i="11" s="1"/>
  <c r="O55" i="11" s="1"/>
  <c r="J21" i="11"/>
  <c r="J50" i="11" s="1"/>
  <c r="J55" i="11" s="1"/>
  <c r="J28" i="9"/>
  <c r="L21" i="11"/>
  <c r="L50" i="11" s="1"/>
  <c r="L55" i="11" s="1"/>
  <c r="O28" i="9"/>
  <c r="K21" i="11"/>
  <c r="K50" i="11" s="1"/>
  <c r="K55" i="11" s="1"/>
  <c r="L34" i="13"/>
  <c r="Q18" i="6"/>
  <c r="I34" i="13"/>
  <c r="P18" i="6"/>
  <c r="J13" i="18"/>
  <c r="M159" i="3"/>
  <c r="J23" i="18"/>
  <c r="N103" i="3"/>
  <c r="G57" i="18"/>
  <c r="F60" i="18"/>
  <c r="F24" i="19" s="1"/>
  <c r="J317" i="29"/>
  <c r="G25" i="18" s="1"/>
  <c r="G26" i="18" s="1"/>
  <c r="N81" i="3"/>
  <c r="J12" i="18"/>
  <c r="M155" i="3"/>
  <c r="J22" i="18"/>
  <c r="L143" i="3"/>
  <c r="L167" i="3" s="1"/>
  <c r="L386" i="29" s="1"/>
  <c r="I9" i="18"/>
  <c r="M15" i="3"/>
  <c r="I19" i="18"/>
  <c r="D147" i="28"/>
  <c r="F31" i="21"/>
  <c r="H31" i="18"/>
  <c r="F101" i="28"/>
  <c r="I37" i="7"/>
  <c r="Q27" i="22"/>
  <c r="E67" i="21"/>
  <c r="Q67" i="21" s="1"/>
  <c r="L70" i="13" s="1"/>
  <c r="S23" i="8"/>
  <c r="K36" i="7" s="1"/>
  <c r="S20" i="8"/>
  <c r="E67" i="18"/>
  <c r="Q67" i="18" s="1"/>
  <c r="I70" i="13" s="1"/>
  <c r="S19" i="8"/>
  <c r="J36" i="7" s="1"/>
  <c r="F49" i="12"/>
  <c r="G39" i="26"/>
  <c r="I39" i="26" s="1"/>
  <c r="Q27" i="19"/>
  <c r="Q27" i="11"/>
  <c r="S24" i="8"/>
  <c r="G17" i="8"/>
  <c r="H17" i="8" s="1"/>
  <c r="I17" i="8" s="1"/>
  <c r="J17" i="8" s="1"/>
  <c r="K17" i="8" s="1"/>
  <c r="L17" i="8" s="1"/>
  <c r="M17" i="8" s="1"/>
  <c r="N17" i="8" s="1"/>
  <c r="O17" i="8" s="1"/>
  <c r="P17" i="8" s="1"/>
  <c r="Q17" i="8" s="1"/>
  <c r="R17" i="8" s="1"/>
  <c r="S16" i="8"/>
  <c r="E67" i="9"/>
  <c r="Q67" i="9" s="1"/>
  <c r="F70" i="13" s="1"/>
  <c r="S15" i="8"/>
  <c r="G41" i="8"/>
  <c r="H41" i="8" s="1"/>
  <c r="I41" i="8" s="1"/>
  <c r="J41" i="8" s="1"/>
  <c r="K41" i="8" s="1"/>
  <c r="L41" i="8" s="1"/>
  <c r="M41" i="8" s="1"/>
  <c r="N41" i="8" s="1"/>
  <c r="O41" i="8" s="1"/>
  <c r="P41" i="8" s="1"/>
  <c r="Q41" i="8" s="1"/>
  <c r="R41" i="8" s="1"/>
  <c r="I32" i="12"/>
  <c r="F32" i="20" s="1"/>
  <c r="K66" i="28"/>
  <c r="N32" i="9" s="1"/>
  <c r="F55" i="28"/>
  <c r="H31" i="9"/>
  <c r="G36" i="9"/>
  <c r="F15" i="13"/>
  <c r="Q16" i="9"/>
  <c r="E25" i="18"/>
  <c r="J41" i="21"/>
  <c r="Q65" i="9"/>
  <c r="M292" i="29"/>
  <c r="M293" i="29"/>
  <c r="M294" i="29"/>
  <c r="N285" i="29"/>
  <c r="M378" i="29"/>
  <c r="M250" i="29"/>
  <c r="M251" i="29"/>
  <c r="M252" i="29"/>
  <c r="M370" i="29"/>
  <c r="N243" i="29"/>
  <c r="I44" i="18"/>
  <c r="M41" i="9"/>
  <c r="J316" i="29"/>
  <c r="L103" i="29"/>
  <c r="L104" i="29"/>
  <c r="L105" i="29"/>
  <c r="L342" i="29"/>
  <c r="M96" i="29"/>
  <c r="L187" i="29"/>
  <c r="L188" i="29"/>
  <c r="L189" i="29"/>
  <c r="M180" i="29"/>
  <c r="L358" i="29"/>
  <c r="N151" i="3"/>
  <c r="K11" i="18"/>
  <c r="K21" i="18"/>
  <c r="O59" i="3"/>
  <c r="I50" i="11"/>
  <c r="I55" i="11" s="1"/>
  <c r="H24" i="11"/>
  <c r="M41" i="18"/>
  <c r="E16" i="18"/>
  <c r="N42" i="29"/>
  <c r="N40" i="29"/>
  <c r="N41" i="29"/>
  <c r="O33" i="29"/>
  <c r="E65" i="21"/>
  <c r="Q65" i="18"/>
  <c r="J59" i="9"/>
  <c r="I60" i="9"/>
  <c r="L12" i="29"/>
  <c r="K21" i="29"/>
  <c r="K326" i="29"/>
  <c r="K19" i="29"/>
  <c r="K20" i="29"/>
  <c r="Q146" i="29"/>
  <c r="Q147" i="29"/>
  <c r="Q145" i="29"/>
  <c r="Q350" i="29"/>
  <c r="R138" i="29"/>
  <c r="N125" i="3"/>
  <c r="J14" i="18"/>
  <c r="M163" i="3"/>
  <c r="J24" i="18"/>
  <c r="K271" i="29"/>
  <c r="K272" i="29"/>
  <c r="K317" i="29" s="1"/>
  <c r="H25" i="18" s="1"/>
  <c r="H26" i="18" s="1"/>
  <c r="K273" i="29"/>
  <c r="L264" i="29"/>
  <c r="K374" i="29"/>
  <c r="J318" i="29"/>
  <c r="J382" i="29" s="1"/>
  <c r="J390" i="29" s="1"/>
  <c r="I40" i="13"/>
  <c r="Q25" i="9"/>
  <c r="E26" i="9"/>
  <c r="E28" i="9" s="1"/>
  <c r="N168" i="29"/>
  <c r="N166" i="29"/>
  <c r="N167" i="29"/>
  <c r="O159" i="29"/>
  <c r="N354" i="29"/>
  <c r="N208" i="29"/>
  <c r="N209" i="29"/>
  <c r="N210" i="29"/>
  <c r="N362" i="29"/>
  <c r="O201" i="29"/>
  <c r="H49" i="21"/>
  <c r="G60" i="21"/>
  <c r="K20" i="18"/>
  <c r="N147" i="3"/>
  <c r="K10" i="18"/>
  <c r="O37" i="3"/>
  <c r="E11" i="11"/>
  <c r="F12" i="11"/>
  <c r="G12" i="11"/>
  <c r="G15" i="11" s="1"/>
  <c r="N62" i="29"/>
  <c r="N63" i="29"/>
  <c r="N61" i="29"/>
  <c r="O54" i="29"/>
  <c r="N334" i="29"/>
  <c r="F24" i="22"/>
  <c r="O40" i="9"/>
  <c r="Q222" i="29"/>
  <c r="P231" i="29"/>
  <c r="P366" i="29"/>
  <c r="P230" i="29"/>
  <c r="P229" i="29"/>
  <c r="N82" i="29"/>
  <c r="N83" i="29"/>
  <c r="N84" i="29"/>
  <c r="O75" i="29"/>
  <c r="N338" i="29"/>
  <c r="M50" i="11"/>
  <c r="M55" i="11" s="1"/>
  <c r="M125" i="29" l="1"/>
  <c r="N117" i="29"/>
  <c r="M126" i="29"/>
  <c r="M124" i="29"/>
  <c r="M346" i="29"/>
  <c r="H57" i="18"/>
  <c r="G60" i="18"/>
  <c r="G24" i="19" s="1"/>
  <c r="K13" i="18"/>
  <c r="O103" i="3"/>
  <c r="N159" i="3"/>
  <c r="K23" i="18"/>
  <c r="H21" i="19"/>
  <c r="K318" i="29"/>
  <c r="K382" i="29" s="1"/>
  <c r="K390" i="29" s="1"/>
  <c r="K22" i="18"/>
  <c r="O81" i="3"/>
  <c r="K12" i="18"/>
  <c r="N155" i="3"/>
  <c r="N15" i="3"/>
  <c r="M143" i="3"/>
  <c r="M167" i="3" s="1"/>
  <c r="M386" i="29" s="1"/>
  <c r="J9" i="18"/>
  <c r="J19" i="18"/>
  <c r="G101" i="28"/>
  <c r="I31" i="18"/>
  <c r="E147" i="28"/>
  <c r="G31" i="21"/>
  <c r="G36" i="7"/>
  <c r="I36" i="7"/>
  <c r="G45" i="8"/>
  <c r="H45" i="8" s="1"/>
  <c r="I45" i="8" s="1"/>
  <c r="J45" i="8" s="1"/>
  <c r="K45" i="8" s="1"/>
  <c r="L45" i="8" s="1"/>
  <c r="M45" i="8" s="1"/>
  <c r="N45" i="8" s="1"/>
  <c r="O45" i="8" s="1"/>
  <c r="P45" i="8" s="1"/>
  <c r="Q45" i="8" s="1"/>
  <c r="R45" i="8" s="1"/>
  <c r="I32" i="23" s="1"/>
  <c r="I32" i="20"/>
  <c r="F32" i="23" s="1"/>
  <c r="G21" i="8"/>
  <c r="H21" i="8" s="1"/>
  <c r="I21" i="8" s="1"/>
  <c r="J21" i="8" s="1"/>
  <c r="K21" i="8" s="1"/>
  <c r="L21" i="8" s="1"/>
  <c r="M21" i="8" s="1"/>
  <c r="N21" i="8" s="1"/>
  <c r="O21" i="8" s="1"/>
  <c r="P21" i="8" s="1"/>
  <c r="Q21" i="8" s="1"/>
  <c r="R21" i="8" s="1"/>
  <c r="I31" i="12"/>
  <c r="F31" i="20" s="1"/>
  <c r="L66" i="28"/>
  <c r="O32" i="9" s="1"/>
  <c r="G55" i="28"/>
  <c r="I31" i="9"/>
  <c r="H36" i="9"/>
  <c r="E21" i="11"/>
  <c r="F21" i="11"/>
  <c r="G21" i="11"/>
  <c r="R147" i="29"/>
  <c r="R145" i="29"/>
  <c r="R146" i="29"/>
  <c r="S138" i="29"/>
  <c r="T138" i="29" s="1"/>
  <c r="R350" i="29"/>
  <c r="F65" i="21"/>
  <c r="Q12" i="11"/>
  <c r="F15" i="11"/>
  <c r="O209" i="29"/>
  <c r="O210" i="29"/>
  <c r="O208" i="29"/>
  <c r="P201" i="29"/>
  <c r="O362" i="29"/>
  <c r="F25" i="13"/>
  <c r="F26" i="13" s="1"/>
  <c r="Q26" i="9"/>
  <c r="G15" i="24" s="1"/>
  <c r="M188" i="29"/>
  <c r="M189" i="29"/>
  <c r="M187" i="29"/>
  <c r="M358" i="29"/>
  <c r="N180" i="29"/>
  <c r="O167" i="29"/>
  <c r="O168" i="29"/>
  <c r="O166" i="29"/>
  <c r="O354" i="29"/>
  <c r="P159" i="29"/>
  <c r="K59" i="9"/>
  <c r="J60" i="9"/>
  <c r="O40" i="29"/>
  <c r="O41" i="29"/>
  <c r="O42" i="29"/>
  <c r="P33" i="29"/>
  <c r="N250" i="29"/>
  <c r="N251" i="29"/>
  <c r="N252" i="29"/>
  <c r="O243" i="29"/>
  <c r="N370" i="29"/>
  <c r="P40" i="9"/>
  <c r="O63" i="29"/>
  <c r="O61" i="29"/>
  <c r="O62" i="29"/>
  <c r="O334" i="29"/>
  <c r="P54" i="29"/>
  <c r="Q11" i="11"/>
  <c r="E15" i="11"/>
  <c r="O147" i="3"/>
  <c r="L20" i="18"/>
  <c r="P37" i="3"/>
  <c r="L10" i="18"/>
  <c r="G24" i="22"/>
  <c r="M12" i="29"/>
  <c r="L326" i="29"/>
  <c r="L21" i="29"/>
  <c r="L20" i="29"/>
  <c r="L19" i="29"/>
  <c r="I68" i="13"/>
  <c r="M104" i="29"/>
  <c r="M105" i="29"/>
  <c r="M103" i="29"/>
  <c r="N96" i="29"/>
  <c r="M342" i="29"/>
  <c r="N41" i="9"/>
  <c r="N292" i="29"/>
  <c r="N293" i="29"/>
  <c r="N294" i="29"/>
  <c r="N378" i="29"/>
  <c r="O285" i="29"/>
  <c r="F68" i="13"/>
  <c r="I24" i="12"/>
  <c r="F24" i="20" s="1"/>
  <c r="I24" i="20" s="1"/>
  <c r="F24" i="23" s="1"/>
  <c r="G23" i="26"/>
  <c r="I23" i="26" s="1"/>
  <c r="G7" i="17"/>
  <c r="F16" i="13"/>
  <c r="Q231" i="29"/>
  <c r="R222" i="29"/>
  <c r="Q229" i="29"/>
  <c r="Q230" i="29"/>
  <c r="Q366" i="29"/>
  <c r="L271" i="29"/>
  <c r="L272" i="29"/>
  <c r="L273" i="29"/>
  <c r="M264" i="29"/>
  <c r="L374" i="29"/>
  <c r="K41" i="21"/>
  <c r="O82" i="29"/>
  <c r="O83" i="29"/>
  <c r="O84" i="29"/>
  <c r="P75" i="29"/>
  <c r="O338" i="29"/>
  <c r="I49" i="21"/>
  <c r="H60" i="21"/>
  <c r="K316" i="29"/>
  <c r="H15" i="18" s="1"/>
  <c r="H16" i="18" s="1"/>
  <c r="O125" i="3"/>
  <c r="K14" i="18"/>
  <c r="N163" i="3"/>
  <c r="K24" i="18"/>
  <c r="I24" i="11"/>
  <c r="E11" i="19"/>
  <c r="G12" i="19"/>
  <c r="F12" i="19"/>
  <c r="N41" i="18"/>
  <c r="O151" i="3"/>
  <c r="P59" i="3"/>
  <c r="L11" i="18"/>
  <c r="L21" i="18"/>
  <c r="G15" i="18"/>
  <c r="J44" i="18"/>
  <c r="E26" i="18"/>
  <c r="N125" i="29" l="1"/>
  <c r="N346" i="29"/>
  <c r="N126" i="29"/>
  <c r="O117" i="29"/>
  <c r="N124" i="29"/>
  <c r="H50" i="19"/>
  <c r="H55" i="19" s="1"/>
  <c r="L318" i="29"/>
  <c r="L382" i="29" s="1"/>
  <c r="L390" i="29" s="1"/>
  <c r="L23" i="18"/>
  <c r="L13" i="18"/>
  <c r="P103" i="3"/>
  <c r="O159" i="3"/>
  <c r="I57" i="18"/>
  <c r="H60" i="18"/>
  <c r="H24" i="19" s="1"/>
  <c r="L317" i="29"/>
  <c r="I25" i="18" s="1"/>
  <c r="I26" i="18" s="1"/>
  <c r="I21" i="19" s="1"/>
  <c r="O155" i="3"/>
  <c r="L12" i="18"/>
  <c r="L22" i="18"/>
  <c r="P81" i="3"/>
  <c r="N143" i="3"/>
  <c r="N167" i="3" s="1"/>
  <c r="N386" i="29" s="1"/>
  <c r="K9" i="18"/>
  <c r="K19" i="18"/>
  <c r="O15" i="3"/>
  <c r="Q15" i="11"/>
  <c r="I9" i="12" s="1"/>
  <c r="F9" i="20" s="1"/>
  <c r="Q28" i="9"/>
  <c r="G16" i="24" s="1"/>
  <c r="F147" i="28"/>
  <c r="H31" i="21"/>
  <c r="H101" i="28"/>
  <c r="J31" i="18"/>
  <c r="G25" i="8"/>
  <c r="H25" i="8" s="1"/>
  <c r="I25" i="8" s="1"/>
  <c r="J25" i="8" s="1"/>
  <c r="K25" i="8" s="1"/>
  <c r="L25" i="8" s="1"/>
  <c r="M25" i="8" s="1"/>
  <c r="N25" i="8" s="1"/>
  <c r="O25" i="8" s="1"/>
  <c r="P25" i="8" s="1"/>
  <c r="Q25" i="8" s="1"/>
  <c r="R25" i="8" s="1"/>
  <c r="I31" i="23" s="1"/>
  <c r="I31" i="20"/>
  <c r="F31" i="23" s="1"/>
  <c r="M66" i="28"/>
  <c r="P32" i="9" s="1"/>
  <c r="H55" i="28"/>
  <c r="J31" i="9"/>
  <c r="I36" i="9"/>
  <c r="E15" i="19"/>
  <c r="L41" i="21"/>
  <c r="O41" i="9"/>
  <c r="G8" i="17"/>
  <c r="I8" i="17" s="1"/>
  <c r="F50" i="11"/>
  <c r="F55" i="11" s="1"/>
  <c r="J49" i="21"/>
  <c r="I60" i="21"/>
  <c r="F37" i="9"/>
  <c r="E37" i="9"/>
  <c r="P61" i="29"/>
  <c r="P62" i="29"/>
  <c r="P63" i="29"/>
  <c r="Q54" i="29"/>
  <c r="P334" i="29"/>
  <c r="P40" i="29"/>
  <c r="P41" i="29"/>
  <c r="P42" i="29"/>
  <c r="Q33" i="29"/>
  <c r="P167" i="29"/>
  <c r="P168" i="29"/>
  <c r="P166" i="29"/>
  <c r="P354" i="29"/>
  <c r="Q159" i="29"/>
  <c r="N189" i="29"/>
  <c r="N187" i="29"/>
  <c r="N188" i="29"/>
  <c r="N358" i="29"/>
  <c r="O180" i="29"/>
  <c r="P210" i="29"/>
  <c r="P208" i="29"/>
  <c r="P209" i="29"/>
  <c r="Q201" i="29"/>
  <c r="P362" i="29"/>
  <c r="E21" i="19"/>
  <c r="F21" i="19"/>
  <c r="G21" i="19"/>
  <c r="M21" i="18"/>
  <c r="Q59" i="3"/>
  <c r="P151" i="3"/>
  <c r="M11" i="18"/>
  <c r="F15" i="19"/>
  <c r="L316" i="29"/>
  <c r="I15" i="18" s="1"/>
  <c r="I16" i="18" s="1"/>
  <c r="J12" i="19" s="1"/>
  <c r="R229" i="29"/>
  <c r="R366" i="29"/>
  <c r="R231" i="29"/>
  <c r="S222" i="29"/>
  <c r="R230" i="29"/>
  <c r="Q40" i="9"/>
  <c r="J24" i="11"/>
  <c r="G26" i="13"/>
  <c r="S145" i="29"/>
  <c r="T145" i="29" s="1"/>
  <c r="S146" i="29"/>
  <c r="T146" i="29" s="1"/>
  <c r="S147" i="29"/>
  <c r="H139" i="29"/>
  <c r="S350" i="29"/>
  <c r="Q21" i="11"/>
  <c r="E50" i="11"/>
  <c r="H11" i="19"/>
  <c r="H28" i="18"/>
  <c r="O293" i="29"/>
  <c r="O294" i="29"/>
  <c r="O292" i="29"/>
  <c r="P285" i="29"/>
  <c r="O378" i="29"/>
  <c r="N105" i="29"/>
  <c r="N103" i="29"/>
  <c r="N104" i="29"/>
  <c r="N342" i="29"/>
  <c r="O96" i="29"/>
  <c r="M21" i="29"/>
  <c r="N12" i="29"/>
  <c r="M20" i="29"/>
  <c r="M19" i="29"/>
  <c r="M326" i="29"/>
  <c r="G50" i="11"/>
  <c r="G55" i="11" s="1"/>
  <c r="K44" i="18"/>
  <c r="O41" i="18"/>
  <c r="G16" i="18"/>
  <c r="E28" i="18"/>
  <c r="P125" i="3"/>
  <c r="L14" i="18"/>
  <c r="O163" i="3"/>
  <c r="L24" i="18"/>
  <c r="H24" i="22"/>
  <c r="P83" i="29"/>
  <c r="P84" i="29"/>
  <c r="P82" i="29"/>
  <c r="P338" i="29"/>
  <c r="Q75" i="29"/>
  <c r="M272" i="29"/>
  <c r="M317" i="29" s="1"/>
  <c r="M273" i="29"/>
  <c r="M271" i="29"/>
  <c r="M316" i="29" s="1"/>
  <c r="J15" i="18" s="1"/>
  <c r="J16" i="18" s="1"/>
  <c r="N264" i="29"/>
  <c r="M374" i="29"/>
  <c r="P147" i="3"/>
  <c r="Q37" i="3"/>
  <c r="M10" i="18"/>
  <c r="M20" i="18"/>
  <c r="O251" i="29"/>
  <c r="O252" i="29"/>
  <c r="O250" i="29"/>
  <c r="P243" i="29"/>
  <c r="O370" i="29"/>
  <c r="L59" i="9"/>
  <c r="K60" i="9"/>
  <c r="G65" i="21"/>
  <c r="O346" i="29" l="1"/>
  <c r="O124" i="29"/>
  <c r="P117" i="29"/>
  <c r="O125" i="29"/>
  <c r="O126" i="29"/>
  <c r="I50" i="19"/>
  <c r="I55" i="19" s="1"/>
  <c r="M318" i="29"/>
  <c r="M382" i="29" s="1"/>
  <c r="M390" i="29" s="1"/>
  <c r="Q103" i="3"/>
  <c r="P159" i="3"/>
  <c r="M23" i="18"/>
  <c r="M13" i="18"/>
  <c r="J57" i="18"/>
  <c r="I60" i="18"/>
  <c r="I24" i="19" s="1"/>
  <c r="P155" i="3"/>
  <c r="Q81" i="3"/>
  <c r="M12" i="18"/>
  <c r="M22" i="18"/>
  <c r="G24" i="24"/>
  <c r="L9" i="18"/>
  <c r="O143" i="3"/>
  <c r="O167" i="3" s="1"/>
  <c r="O386" i="29" s="1"/>
  <c r="L19" i="18"/>
  <c r="P15" i="3"/>
  <c r="F28" i="13"/>
  <c r="G28" i="13" s="1"/>
  <c r="G26" i="26" s="1"/>
  <c r="I26" i="26" s="1"/>
  <c r="G9" i="17"/>
  <c r="I9" i="17" s="1"/>
  <c r="G16" i="17" s="1"/>
  <c r="G23" i="24"/>
  <c r="G36" i="26"/>
  <c r="I36" i="26" s="1"/>
  <c r="I101" i="28"/>
  <c r="K31" i="18"/>
  <c r="G147" i="28"/>
  <c r="I31" i="21"/>
  <c r="B112" i="28"/>
  <c r="E32" i="18" s="1"/>
  <c r="I55" i="28"/>
  <c r="K31" i="9"/>
  <c r="J36" i="9"/>
  <c r="E52" i="11"/>
  <c r="E53" i="11" s="1"/>
  <c r="F49" i="11" s="1"/>
  <c r="Q50" i="11"/>
  <c r="Q41" i="29"/>
  <c r="Q42" i="29"/>
  <c r="Q40" i="29"/>
  <c r="R33" i="29"/>
  <c r="G37" i="9"/>
  <c r="P252" i="29"/>
  <c r="P250" i="29"/>
  <c r="P251" i="29"/>
  <c r="Q243" i="29"/>
  <c r="P370" i="29"/>
  <c r="J25" i="18"/>
  <c r="P41" i="18"/>
  <c r="L44" i="18"/>
  <c r="F50" i="19"/>
  <c r="F55" i="19" s="1"/>
  <c r="Q208" i="29"/>
  <c r="Q209" i="29"/>
  <c r="Q210" i="29"/>
  <c r="R201" i="29"/>
  <c r="Q362" i="29"/>
  <c r="O187" i="29"/>
  <c r="O188" i="29"/>
  <c r="O189" i="29"/>
  <c r="P180" i="29"/>
  <c r="O358" i="29"/>
  <c r="Q61" i="29"/>
  <c r="Q62" i="29"/>
  <c r="Q63" i="29"/>
  <c r="R54" i="29"/>
  <c r="Q334" i="29"/>
  <c r="I24" i="22"/>
  <c r="G50" i="19"/>
  <c r="G55" i="19" s="1"/>
  <c r="K24" i="11"/>
  <c r="N273" i="29"/>
  <c r="N271" i="29"/>
  <c r="N272" i="29"/>
  <c r="O264" i="29"/>
  <c r="N374" i="29"/>
  <c r="G11" i="19"/>
  <c r="I12" i="19"/>
  <c r="G28" i="18"/>
  <c r="H12" i="19"/>
  <c r="H15" i="19" s="1"/>
  <c r="H150" i="29"/>
  <c r="H351" i="29"/>
  <c r="I139" i="29"/>
  <c r="H148" i="29"/>
  <c r="H149" i="29"/>
  <c r="S366" i="29"/>
  <c r="S231" i="29"/>
  <c r="S229" i="29"/>
  <c r="T229" i="29" s="1"/>
  <c r="S230" i="29"/>
  <c r="T230" i="29" s="1"/>
  <c r="H223" i="29"/>
  <c r="T222" i="29"/>
  <c r="I11" i="19"/>
  <c r="I28" i="18"/>
  <c r="K12" i="19"/>
  <c r="Q151" i="3"/>
  <c r="R59" i="3"/>
  <c r="N21" i="18"/>
  <c r="N11" i="18"/>
  <c r="E50" i="19"/>
  <c r="E23" i="11"/>
  <c r="E61" i="9"/>
  <c r="E80" i="9"/>
  <c r="E81" i="9" s="1"/>
  <c r="K49" i="21"/>
  <c r="J60" i="21"/>
  <c r="I30" i="12"/>
  <c r="M41" i="21"/>
  <c r="H65" i="21"/>
  <c r="R37" i="3"/>
  <c r="Q147" i="3"/>
  <c r="N10" i="18"/>
  <c r="N20" i="18"/>
  <c r="O103" i="29"/>
  <c r="O104" i="29"/>
  <c r="O105" i="29"/>
  <c r="O342" i="29"/>
  <c r="P96" i="29"/>
  <c r="P294" i="29"/>
  <c r="P292" i="29"/>
  <c r="P293" i="29"/>
  <c r="Q285" i="29"/>
  <c r="P378" i="29"/>
  <c r="P41" i="9"/>
  <c r="M59" i="9"/>
  <c r="L60" i="9"/>
  <c r="J11" i="19"/>
  <c r="J15" i="19" s="1"/>
  <c r="Q84" i="29"/>
  <c r="Q82" i="29"/>
  <c r="Q83" i="29"/>
  <c r="R75" i="29"/>
  <c r="Q338" i="29"/>
  <c r="M14" i="18"/>
  <c r="Q125" i="3"/>
  <c r="P163" i="3"/>
  <c r="M24" i="18"/>
  <c r="Q41" i="18"/>
  <c r="O12" i="29"/>
  <c r="N19" i="29"/>
  <c r="N326" i="29"/>
  <c r="N20" i="29"/>
  <c r="N21" i="29"/>
  <c r="E55" i="11"/>
  <c r="F40" i="13"/>
  <c r="G29" i="26"/>
  <c r="I29" i="26" s="1"/>
  <c r="Q167" i="29"/>
  <c r="Q168" i="29"/>
  <c r="Q166" i="29"/>
  <c r="R159" i="29"/>
  <c r="Q354" i="29"/>
  <c r="P126" i="29" l="1"/>
  <c r="P346" i="29"/>
  <c r="P124" i="29"/>
  <c r="Q117" i="29"/>
  <c r="P125" i="29"/>
  <c r="K57" i="18"/>
  <c r="J60" i="18"/>
  <c r="J24" i="19" s="1"/>
  <c r="N13" i="18"/>
  <c r="Q159" i="3"/>
  <c r="N23" i="18"/>
  <c r="R103" i="3"/>
  <c r="N318" i="29"/>
  <c r="N382" i="29" s="1"/>
  <c r="N390" i="29" s="1"/>
  <c r="R81" i="3"/>
  <c r="N12" i="18"/>
  <c r="Q155" i="3"/>
  <c r="N22" i="18"/>
  <c r="I15" i="19"/>
  <c r="M19" i="18"/>
  <c r="M9" i="18"/>
  <c r="P143" i="3"/>
  <c r="P167" i="3" s="1"/>
  <c r="P386" i="29" s="1"/>
  <c r="Q15" i="3"/>
  <c r="H147" i="28"/>
  <c r="J31" i="21"/>
  <c r="J101" i="28"/>
  <c r="L31" i="18"/>
  <c r="E36" i="18"/>
  <c r="E37" i="18" s="1"/>
  <c r="C112" i="28"/>
  <c r="F32" i="18" s="1"/>
  <c r="J55" i="28"/>
  <c r="L31" i="9"/>
  <c r="K36" i="9"/>
  <c r="F52" i="11"/>
  <c r="F53" i="11" s="1"/>
  <c r="G49" i="11" s="1"/>
  <c r="E73" i="9"/>
  <c r="M44" i="18"/>
  <c r="Q250" i="29"/>
  <c r="Q251" i="29"/>
  <c r="R243" i="29"/>
  <c r="Q252" i="29"/>
  <c r="Q370" i="29"/>
  <c r="R42" i="29"/>
  <c r="R40" i="29"/>
  <c r="R41" i="29"/>
  <c r="S33" i="29"/>
  <c r="I41" i="13"/>
  <c r="F30" i="20"/>
  <c r="H233" i="29"/>
  <c r="H232" i="29"/>
  <c r="I223" i="29"/>
  <c r="H234" i="29"/>
  <c r="H367" i="29"/>
  <c r="O271" i="29"/>
  <c r="O272" i="29"/>
  <c r="O273" i="29"/>
  <c r="O374" i="29"/>
  <c r="P264" i="29"/>
  <c r="P187" i="29"/>
  <c r="P188" i="29"/>
  <c r="P189" i="29"/>
  <c r="Q180" i="29"/>
  <c r="P358" i="29"/>
  <c r="I65" i="21"/>
  <c r="R62" i="29"/>
  <c r="R63" i="29"/>
  <c r="R61" i="29"/>
  <c r="R334" i="29"/>
  <c r="S54" i="29"/>
  <c r="R82" i="29"/>
  <c r="R83" i="29"/>
  <c r="R84" i="29"/>
  <c r="R338" i="29"/>
  <c r="S75" i="29"/>
  <c r="Q292" i="29"/>
  <c r="Q293" i="29"/>
  <c r="Q294" i="29"/>
  <c r="R285" i="29"/>
  <c r="Q378" i="29"/>
  <c r="P103" i="29"/>
  <c r="P104" i="29"/>
  <c r="P105" i="29"/>
  <c r="Q96" i="29"/>
  <c r="P342" i="29"/>
  <c r="O20" i="18"/>
  <c r="R147" i="3"/>
  <c r="O10" i="18"/>
  <c r="S37" i="3"/>
  <c r="J24" i="22"/>
  <c r="E55" i="19"/>
  <c r="R151" i="3"/>
  <c r="S59" i="3"/>
  <c r="O11" i="18"/>
  <c r="O21" i="18"/>
  <c r="I150" i="29"/>
  <c r="I148" i="29"/>
  <c r="I149" i="29"/>
  <c r="I351" i="29"/>
  <c r="J139" i="29"/>
  <c r="G15" i="19"/>
  <c r="N317" i="29"/>
  <c r="R208" i="29"/>
  <c r="R209" i="29"/>
  <c r="R210" i="29"/>
  <c r="S201" i="29"/>
  <c r="R362" i="29"/>
  <c r="F61" i="9"/>
  <c r="F23" i="11"/>
  <c r="E31" i="11"/>
  <c r="E33" i="11" s="1"/>
  <c r="R168" i="29"/>
  <c r="R167" i="29"/>
  <c r="R166" i="29"/>
  <c r="R354" i="29"/>
  <c r="S159" i="29"/>
  <c r="T159" i="29" s="1"/>
  <c r="N59" i="9"/>
  <c r="M60" i="9"/>
  <c r="J26" i="18"/>
  <c r="Q41" i="9"/>
  <c r="O19" i="29"/>
  <c r="O326" i="29"/>
  <c r="O21" i="29"/>
  <c r="O20" i="29"/>
  <c r="P12" i="29"/>
  <c r="R125" i="3"/>
  <c r="N14" i="18"/>
  <c r="Q163" i="3"/>
  <c r="N24" i="18"/>
  <c r="L24" i="11"/>
  <c r="N41" i="21"/>
  <c r="L49" i="21"/>
  <c r="K60" i="21"/>
  <c r="N316" i="29"/>
  <c r="H37" i="9"/>
  <c r="R117" i="29" l="1"/>
  <c r="Q125" i="29"/>
  <c r="Q126" i="29"/>
  <c r="Q124" i="29"/>
  <c r="Q346" i="29"/>
  <c r="S103" i="3"/>
  <c r="H104" i="3" s="1"/>
  <c r="I104" i="3" s="1"/>
  <c r="J104" i="3" s="1"/>
  <c r="K104" i="3" s="1"/>
  <c r="L104" i="3" s="1"/>
  <c r="M104" i="3" s="1"/>
  <c r="N104" i="3" s="1"/>
  <c r="O104" i="3" s="1"/>
  <c r="P104" i="3" s="1"/>
  <c r="Q104" i="3" s="1"/>
  <c r="R104" i="3" s="1"/>
  <c r="S104" i="3" s="1"/>
  <c r="O13" i="18"/>
  <c r="R159" i="3"/>
  <c r="O23" i="18"/>
  <c r="T103" i="3"/>
  <c r="L57" i="18"/>
  <c r="K60" i="18"/>
  <c r="K24" i="19" s="1"/>
  <c r="O22" i="18"/>
  <c r="R155" i="3"/>
  <c r="O12" i="18"/>
  <c r="S81" i="3"/>
  <c r="N9" i="18"/>
  <c r="N19" i="18"/>
  <c r="Q143" i="3"/>
  <c r="Q167" i="3" s="1"/>
  <c r="Q386" i="29" s="1"/>
  <c r="R15" i="3"/>
  <c r="K101" i="28"/>
  <c r="M31" i="18"/>
  <c r="I147" i="28"/>
  <c r="K31" i="21"/>
  <c r="E23" i="19"/>
  <c r="E61" i="18"/>
  <c r="F36" i="18"/>
  <c r="F37" i="18" s="1"/>
  <c r="D112" i="28"/>
  <c r="G32" i="18" s="1"/>
  <c r="K55" i="28"/>
  <c r="M31" i="9"/>
  <c r="L36" i="9"/>
  <c r="I37" i="9"/>
  <c r="P21" i="29"/>
  <c r="Q12" i="29"/>
  <c r="P19" i="29"/>
  <c r="P20" i="29"/>
  <c r="P326" i="29"/>
  <c r="S63" i="29"/>
  <c r="S61" i="29"/>
  <c r="T61" i="29" s="1"/>
  <c r="S62" i="29"/>
  <c r="T62" i="29" s="1"/>
  <c r="H55" i="29"/>
  <c r="S334" i="29"/>
  <c r="T54" i="29"/>
  <c r="O316" i="29"/>
  <c r="L15" i="18" s="1"/>
  <c r="L16" i="18" s="1"/>
  <c r="K24" i="22"/>
  <c r="F41" i="13"/>
  <c r="O59" i="9"/>
  <c r="N60" i="9"/>
  <c r="B88" i="27"/>
  <c r="B89" i="27" s="1"/>
  <c r="E35" i="11"/>
  <c r="S209" i="29"/>
  <c r="T209" i="29" s="1"/>
  <c r="S210" i="29"/>
  <c r="S208" i="29"/>
  <c r="T208" i="29" s="1"/>
  <c r="H202" i="29"/>
  <c r="S362" i="29"/>
  <c r="T201" i="29"/>
  <c r="K25" i="18"/>
  <c r="H60" i="3"/>
  <c r="S151" i="3"/>
  <c r="P21" i="18"/>
  <c r="Q21" i="18" s="1"/>
  <c r="I21" i="13" s="1"/>
  <c r="P11" i="18"/>
  <c r="Q11" i="18" s="1"/>
  <c r="I11" i="13" s="1"/>
  <c r="T59" i="3"/>
  <c r="S82" i="29"/>
  <c r="T82" i="29" s="1"/>
  <c r="S83" i="29"/>
  <c r="T83" i="29" s="1"/>
  <c r="S84" i="29"/>
  <c r="S338" i="29"/>
  <c r="H76" i="29"/>
  <c r="T75" i="29"/>
  <c r="J223" i="29"/>
  <c r="I232" i="29"/>
  <c r="I367" i="29"/>
  <c r="I233" i="29"/>
  <c r="I234" i="29"/>
  <c r="R252" i="29"/>
  <c r="R250" i="29"/>
  <c r="R251" i="29"/>
  <c r="R370" i="29"/>
  <c r="S243" i="29"/>
  <c r="N44" i="18"/>
  <c r="O41" i="21"/>
  <c r="M24" i="11"/>
  <c r="J148" i="29"/>
  <c r="J149" i="29"/>
  <c r="J150" i="29"/>
  <c r="J351" i="29"/>
  <c r="K139" i="29"/>
  <c r="Q188" i="29"/>
  <c r="Q189" i="29"/>
  <c r="Q187" i="29"/>
  <c r="R180" i="29"/>
  <c r="Q358" i="29"/>
  <c r="G52" i="11"/>
  <c r="G53" i="11" s="1"/>
  <c r="H49" i="11" s="1"/>
  <c r="M49" i="21"/>
  <c r="L60" i="21"/>
  <c r="S125" i="3"/>
  <c r="H126" i="3" s="1"/>
  <c r="I126" i="3" s="1"/>
  <c r="J126" i="3" s="1"/>
  <c r="K126" i="3" s="1"/>
  <c r="L126" i="3" s="1"/>
  <c r="M126" i="3" s="1"/>
  <c r="N126" i="3" s="1"/>
  <c r="O126" i="3" s="1"/>
  <c r="P126" i="3" s="1"/>
  <c r="Q126" i="3" s="1"/>
  <c r="R126" i="3" s="1"/>
  <c r="S126" i="3" s="1"/>
  <c r="O14" i="18"/>
  <c r="R163" i="3"/>
  <c r="O24" i="18"/>
  <c r="T125" i="3"/>
  <c r="J21" i="19"/>
  <c r="J28" i="18"/>
  <c r="P10" i="18"/>
  <c r="H38" i="3"/>
  <c r="S147" i="3"/>
  <c r="P20" i="18"/>
  <c r="T37" i="3"/>
  <c r="O318" i="29"/>
  <c r="O382" i="29" s="1"/>
  <c r="O390" i="29" s="1"/>
  <c r="E74" i="9"/>
  <c r="E76" i="9" s="1"/>
  <c r="K15" i="18"/>
  <c r="R292" i="29"/>
  <c r="R293" i="29"/>
  <c r="R294" i="29"/>
  <c r="S285" i="29"/>
  <c r="R378" i="29"/>
  <c r="P271" i="29"/>
  <c r="P316" i="29" s="1"/>
  <c r="M15" i="18" s="1"/>
  <c r="M16" i="18" s="1"/>
  <c r="P272" i="29"/>
  <c r="P273" i="29"/>
  <c r="P318" i="29" s="1"/>
  <c r="P382" i="29" s="1"/>
  <c r="P390" i="29" s="1"/>
  <c r="Q264" i="29"/>
  <c r="P374" i="29"/>
  <c r="G23" i="11"/>
  <c r="G61" i="9"/>
  <c r="S167" i="29"/>
  <c r="T167" i="29" s="1"/>
  <c r="S166" i="29"/>
  <c r="T166" i="29" s="1"/>
  <c r="S168" i="29"/>
  <c r="H160" i="29"/>
  <c r="S354" i="29"/>
  <c r="Q104" i="29"/>
  <c r="Q105" i="29"/>
  <c r="Q103" i="29"/>
  <c r="Q342" i="29"/>
  <c r="R96" i="29"/>
  <c r="J65" i="21"/>
  <c r="O317" i="29"/>
  <c r="L25" i="18" s="1"/>
  <c r="L26" i="18" s="1"/>
  <c r="S40" i="29"/>
  <c r="T40" i="29" s="1"/>
  <c r="S41" i="29"/>
  <c r="T41" i="29" s="1"/>
  <c r="S42" i="29"/>
  <c r="H34" i="29"/>
  <c r="T33" i="29"/>
  <c r="R346" i="29" l="1"/>
  <c r="R126" i="29"/>
  <c r="S117" i="29"/>
  <c r="R124" i="29"/>
  <c r="R125" i="29"/>
  <c r="P317" i="29"/>
  <c r="M25" i="18" s="1"/>
  <c r="M26" i="18" s="1"/>
  <c r="M28" i="18" s="1"/>
  <c r="M57" i="18"/>
  <c r="L60" i="18"/>
  <c r="L24" i="19" s="1"/>
  <c r="H164" i="3"/>
  <c r="P23" i="18"/>
  <c r="Q23" i="18" s="1"/>
  <c r="I23" i="13" s="1"/>
  <c r="P13" i="18"/>
  <c r="Q13" i="18" s="1"/>
  <c r="I13" i="13" s="1"/>
  <c r="S159" i="3"/>
  <c r="P22" i="18"/>
  <c r="Q22" i="18" s="1"/>
  <c r="I22" i="13" s="1"/>
  <c r="P12" i="18"/>
  <c r="Q12" i="18" s="1"/>
  <c r="I12" i="13" s="1"/>
  <c r="H82" i="3"/>
  <c r="S155" i="3"/>
  <c r="T81" i="3"/>
  <c r="O19" i="18"/>
  <c r="O9" i="18"/>
  <c r="R143" i="3"/>
  <c r="R167" i="3" s="1"/>
  <c r="R386" i="29" s="1"/>
  <c r="S15" i="3"/>
  <c r="J147" i="28"/>
  <c r="L31" i="21"/>
  <c r="L101" i="28"/>
  <c r="N31" i="18"/>
  <c r="F23" i="19"/>
  <c r="F61" i="18"/>
  <c r="G36" i="18"/>
  <c r="G37" i="18" s="1"/>
  <c r="E112" i="28"/>
  <c r="H32" i="18" s="1"/>
  <c r="L55" i="28"/>
  <c r="N31" i="9"/>
  <c r="M36" i="9"/>
  <c r="H45" i="29"/>
  <c r="I34" i="29"/>
  <c r="H43" i="29"/>
  <c r="H44" i="29"/>
  <c r="Q272" i="29"/>
  <c r="Q273" i="29"/>
  <c r="Q271" i="29"/>
  <c r="Q374" i="29"/>
  <c r="R264" i="29"/>
  <c r="N49" i="21"/>
  <c r="M60" i="21"/>
  <c r="O44" i="18"/>
  <c r="Q326" i="29"/>
  <c r="R12" i="29"/>
  <c r="Q20" i="29"/>
  <c r="Q21" i="29"/>
  <c r="Q19" i="29"/>
  <c r="H171" i="29"/>
  <c r="H170" i="29"/>
  <c r="H355" i="29"/>
  <c r="I160" i="29"/>
  <c r="H169" i="29"/>
  <c r="S293" i="29"/>
  <c r="S294" i="29"/>
  <c r="S292" i="29"/>
  <c r="S378" i="29"/>
  <c r="H286" i="29"/>
  <c r="T285" i="29"/>
  <c r="J50" i="19"/>
  <c r="J55" i="19" s="1"/>
  <c r="H52" i="11"/>
  <c r="H53" i="11" s="1"/>
  <c r="I49" i="11" s="1"/>
  <c r="K148" i="29"/>
  <c r="K149" i="29"/>
  <c r="K150" i="29"/>
  <c r="L139" i="29"/>
  <c r="K351" i="29"/>
  <c r="P41" i="21"/>
  <c r="S252" i="29"/>
  <c r="S251" i="29"/>
  <c r="T251" i="29" s="1"/>
  <c r="S250" i="29"/>
  <c r="T250" i="29" s="1"/>
  <c r="S370" i="29"/>
  <c r="H244" i="29"/>
  <c r="T243" i="29"/>
  <c r="I60" i="3"/>
  <c r="E21" i="21"/>
  <c r="E11" i="21"/>
  <c r="H152" i="3"/>
  <c r="H64" i="29"/>
  <c r="H66" i="29"/>
  <c r="H335" i="29"/>
  <c r="H65" i="29"/>
  <c r="I55" i="29"/>
  <c r="K65" i="21"/>
  <c r="J37" i="9"/>
  <c r="E10" i="21"/>
  <c r="E20" i="21"/>
  <c r="I38" i="3"/>
  <c r="H148" i="3"/>
  <c r="P14" i="18"/>
  <c r="Q14" i="18" s="1"/>
  <c r="I14" i="13" s="1"/>
  <c r="S163" i="3"/>
  <c r="P24" i="18"/>
  <c r="Q24" i="18" s="1"/>
  <c r="I24" i="13" s="1"/>
  <c r="H213" i="29"/>
  <c r="H212" i="29"/>
  <c r="I202" i="29"/>
  <c r="H363" i="29"/>
  <c r="H211" i="29"/>
  <c r="N24" i="11"/>
  <c r="L11" i="19"/>
  <c r="N12" i="19"/>
  <c r="L28" i="18"/>
  <c r="R105" i="29"/>
  <c r="R103" i="29"/>
  <c r="R104" i="29"/>
  <c r="R342" i="29"/>
  <c r="S96" i="29"/>
  <c r="Q20" i="18"/>
  <c r="R189" i="29"/>
  <c r="R187" i="29"/>
  <c r="R188" i="29"/>
  <c r="R358" i="29"/>
  <c r="S180" i="29"/>
  <c r="M11" i="19"/>
  <c r="K16" i="18"/>
  <c r="Q10" i="18"/>
  <c r="L24" i="22"/>
  <c r="J234" i="29"/>
  <c r="K223" i="29"/>
  <c r="J367" i="29"/>
  <c r="J232" i="29"/>
  <c r="J233" i="29"/>
  <c r="H87" i="29"/>
  <c r="H86" i="29"/>
  <c r="H339" i="29"/>
  <c r="I76" i="29"/>
  <c r="H85" i="29"/>
  <c r="K26" i="18"/>
  <c r="K21" i="19" s="1"/>
  <c r="E37" i="11"/>
  <c r="E39" i="11" s="1"/>
  <c r="F8" i="11" s="1"/>
  <c r="P59" i="9"/>
  <c r="O60" i="9"/>
  <c r="H23" i="11"/>
  <c r="H61" i="9"/>
  <c r="S126" i="29" l="1"/>
  <c r="S346" i="29"/>
  <c r="S124" i="29"/>
  <c r="T124" i="29" s="1"/>
  <c r="H118" i="29"/>
  <c r="S125" i="29"/>
  <c r="T125" i="29" s="1"/>
  <c r="T117" i="29"/>
  <c r="E13" i="21"/>
  <c r="E23" i="21"/>
  <c r="H160" i="3"/>
  <c r="I164" i="3"/>
  <c r="N57" i="18"/>
  <c r="M60" i="18"/>
  <c r="M24" i="19" s="1"/>
  <c r="Q317" i="29"/>
  <c r="N25" i="18" s="1"/>
  <c r="N26" i="18" s="1"/>
  <c r="N21" i="19" s="1"/>
  <c r="H156" i="3"/>
  <c r="E12" i="21"/>
  <c r="E22" i="21"/>
  <c r="I82" i="3"/>
  <c r="H16" i="3"/>
  <c r="P19" i="18"/>
  <c r="Q19" i="18" s="1"/>
  <c r="I19" i="13" s="1"/>
  <c r="S143" i="3"/>
  <c r="S167" i="3" s="1"/>
  <c r="S386" i="29" s="1"/>
  <c r="P9" i="18"/>
  <c r="Q9" i="18" s="1"/>
  <c r="I9" i="13" s="1"/>
  <c r="T15" i="3"/>
  <c r="M21" i="19"/>
  <c r="M50" i="19" s="1"/>
  <c r="M55" i="19" s="1"/>
  <c r="M101" i="28"/>
  <c r="P31" i="18" s="1"/>
  <c r="O31" i="18"/>
  <c r="K147" i="28"/>
  <c r="M31" i="21"/>
  <c r="G23" i="19"/>
  <c r="G61" i="18"/>
  <c r="H36" i="18"/>
  <c r="H37" i="18" s="1"/>
  <c r="F112" i="28"/>
  <c r="I32" i="18" s="1"/>
  <c r="M55" i="28"/>
  <c r="P31" i="9" s="1"/>
  <c r="O31" i="9"/>
  <c r="N36" i="9"/>
  <c r="K11" i="19"/>
  <c r="M12" i="19"/>
  <c r="M15" i="19" s="1"/>
  <c r="K28" i="18"/>
  <c r="L12" i="19"/>
  <c r="L15" i="19" s="1"/>
  <c r="K37" i="9"/>
  <c r="Q41" i="21"/>
  <c r="I171" i="29"/>
  <c r="I169" i="29"/>
  <c r="I170" i="29"/>
  <c r="I355" i="29"/>
  <c r="J160" i="29"/>
  <c r="P60" i="9"/>
  <c r="Q59" i="9"/>
  <c r="I20" i="13"/>
  <c r="I211" i="29"/>
  <c r="I212" i="29"/>
  <c r="I213" i="29"/>
  <c r="I363" i="29"/>
  <c r="J202" i="29"/>
  <c r="L65" i="21"/>
  <c r="J60" i="3"/>
  <c r="I152" i="3"/>
  <c r="F21" i="21"/>
  <c r="F11" i="21"/>
  <c r="P44" i="18"/>
  <c r="O24" i="11"/>
  <c r="I86" i="29"/>
  <c r="I87" i="29"/>
  <c r="I85" i="29"/>
  <c r="I339" i="29"/>
  <c r="J76" i="29"/>
  <c r="L149" i="29"/>
  <c r="L150" i="29"/>
  <c r="L148" i="29"/>
  <c r="L351" i="29"/>
  <c r="M139" i="29"/>
  <c r="R273" i="29"/>
  <c r="R271" i="29"/>
  <c r="R272" i="29"/>
  <c r="R374" i="29"/>
  <c r="S264" i="29"/>
  <c r="I45" i="29"/>
  <c r="I43" i="29"/>
  <c r="I44" i="29"/>
  <c r="J34" i="29"/>
  <c r="K50" i="19"/>
  <c r="K55" i="19" s="1"/>
  <c r="I10" i="13"/>
  <c r="S103" i="29"/>
  <c r="T103" i="29" s="1"/>
  <c r="S104" i="29"/>
  <c r="T104" i="29" s="1"/>
  <c r="S105" i="29"/>
  <c r="S342" i="29"/>
  <c r="H97" i="29"/>
  <c r="T96" i="29"/>
  <c r="L21" i="19"/>
  <c r="I65" i="29"/>
  <c r="I66" i="29"/>
  <c r="I64" i="29"/>
  <c r="I335" i="29"/>
  <c r="J55" i="29"/>
  <c r="H297" i="29"/>
  <c r="I286" i="29"/>
  <c r="H379" i="29"/>
  <c r="H296" i="29"/>
  <c r="H295" i="29"/>
  <c r="T293" i="29"/>
  <c r="M24" i="22"/>
  <c r="T292" i="29"/>
  <c r="Q316" i="29"/>
  <c r="F20" i="21"/>
  <c r="J38" i="3"/>
  <c r="I148" i="3"/>
  <c r="F10" i="21"/>
  <c r="I52" i="11"/>
  <c r="I53" i="11" s="1"/>
  <c r="J49" i="11" s="1"/>
  <c r="E42" i="11"/>
  <c r="L223" i="29"/>
  <c r="K232" i="29"/>
  <c r="K367" i="29"/>
  <c r="K234" i="29"/>
  <c r="K233" i="29"/>
  <c r="S187" i="29"/>
  <c r="T187" i="29" s="1"/>
  <c r="S188" i="29"/>
  <c r="T188" i="29" s="1"/>
  <c r="S189" i="29"/>
  <c r="H181" i="29"/>
  <c r="S358" i="29"/>
  <c r="T180" i="29"/>
  <c r="I23" i="11"/>
  <c r="I61" i="9"/>
  <c r="H255" i="29"/>
  <c r="H254" i="29"/>
  <c r="H371" i="29"/>
  <c r="H253" i="29"/>
  <c r="I244" i="29"/>
  <c r="R20" i="29"/>
  <c r="R326" i="29"/>
  <c r="R19" i="29"/>
  <c r="R21" i="29"/>
  <c r="S12" i="29"/>
  <c r="O49" i="21"/>
  <c r="N60" i="21"/>
  <c r="Q318" i="29"/>
  <c r="Q382" i="29" s="1"/>
  <c r="Q390" i="29" s="1"/>
  <c r="H128" i="29" l="1"/>
  <c r="H129" i="29"/>
  <c r="H127" i="29"/>
  <c r="H347" i="29"/>
  <c r="I118" i="29"/>
  <c r="N50" i="19"/>
  <c r="N55" i="19" s="1"/>
  <c r="O57" i="18"/>
  <c r="N60" i="18"/>
  <c r="N24" i="19" s="1"/>
  <c r="J164" i="3"/>
  <c r="F23" i="21"/>
  <c r="I160" i="3"/>
  <c r="F13" i="21"/>
  <c r="R318" i="29"/>
  <c r="R382" i="29" s="1"/>
  <c r="R390" i="29" s="1"/>
  <c r="F22" i="21"/>
  <c r="I156" i="3"/>
  <c r="J82" i="3"/>
  <c r="F12" i="21"/>
  <c r="E19" i="21"/>
  <c r="E9" i="21"/>
  <c r="H144" i="3"/>
  <c r="H168" i="3" s="1"/>
  <c r="H387" i="29" s="1"/>
  <c r="I16" i="3"/>
  <c r="L147" i="28"/>
  <c r="N31" i="21"/>
  <c r="H61" i="18"/>
  <c r="H23" i="19"/>
  <c r="I36" i="18"/>
  <c r="I37" i="18" s="1"/>
  <c r="G112" i="28"/>
  <c r="J32" i="18" s="1"/>
  <c r="Q31" i="9"/>
  <c r="O12" i="6" s="1"/>
  <c r="O36" i="9"/>
  <c r="J148" i="3"/>
  <c r="G20" i="21"/>
  <c r="G10" i="21"/>
  <c r="K38" i="3"/>
  <c r="N15" i="18"/>
  <c r="I295" i="29"/>
  <c r="I296" i="29"/>
  <c r="I297" i="29"/>
  <c r="J286" i="29"/>
  <c r="I379" i="29"/>
  <c r="L50" i="19"/>
  <c r="L55" i="19" s="1"/>
  <c r="J86" i="29"/>
  <c r="J87" i="29"/>
  <c r="J85" i="29"/>
  <c r="J339" i="29"/>
  <c r="K76" i="29"/>
  <c r="J152" i="3"/>
  <c r="G11" i="21"/>
  <c r="G21" i="21"/>
  <c r="K60" i="3"/>
  <c r="L41" i="13"/>
  <c r="J52" i="11"/>
  <c r="J53" i="11" s="1"/>
  <c r="K49" i="11" s="1"/>
  <c r="J66" i="29"/>
  <c r="J64" i="29"/>
  <c r="J65" i="29"/>
  <c r="K55" i="29"/>
  <c r="J335" i="29"/>
  <c r="J43" i="29"/>
  <c r="J44" i="29"/>
  <c r="J45" i="29"/>
  <c r="K34" i="29"/>
  <c r="Q31" i="18"/>
  <c r="P12" i="6" s="1"/>
  <c r="S326" i="29"/>
  <c r="H13" i="29"/>
  <c r="S20" i="29"/>
  <c r="T20" i="29" s="1"/>
  <c r="S19" i="29"/>
  <c r="T19" i="29" s="1"/>
  <c r="S21" i="29"/>
  <c r="T12" i="29"/>
  <c r="H192" i="29"/>
  <c r="H190" i="29"/>
  <c r="I181" i="29"/>
  <c r="H191" i="29"/>
  <c r="H359" i="29"/>
  <c r="H108" i="29"/>
  <c r="H107" i="29"/>
  <c r="I97" i="29"/>
  <c r="H343" i="29"/>
  <c r="H106" i="29"/>
  <c r="R317" i="29"/>
  <c r="O25" i="18" s="1"/>
  <c r="Q44" i="18"/>
  <c r="F59" i="13"/>
  <c r="F60" i="13" s="1"/>
  <c r="Q60" i="9"/>
  <c r="J23" i="11"/>
  <c r="J61" i="9"/>
  <c r="P49" i="21"/>
  <c r="O60" i="21"/>
  <c r="I254" i="29"/>
  <c r="I255" i="29"/>
  <c r="I253" i="29"/>
  <c r="J244" i="29"/>
  <c r="I371" i="29"/>
  <c r="L367" i="29"/>
  <c r="L233" i="29"/>
  <c r="L234" i="29"/>
  <c r="M223" i="29"/>
  <c r="L232" i="29"/>
  <c r="S271" i="29"/>
  <c r="S272" i="29"/>
  <c r="S273" i="29"/>
  <c r="S318" i="29" s="1"/>
  <c r="S382" i="29" s="1"/>
  <c r="S390" i="29" s="1"/>
  <c r="S374" i="29"/>
  <c r="H265" i="29"/>
  <c r="T264" i="29"/>
  <c r="Q32" i="9"/>
  <c r="O13" i="6" s="1"/>
  <c r="M13" i="6" s="1"/>
  <c r="J212" i="29"/>
  <c r="J213" i="29"/>
  <c r="J211" i="29"/>
  <c r="J363" i="29"/>
  <c r="K202" i="29"/>
  <c r="N24" i="22"/>
  <c r="E78" i="9"/>
  <c r="F28" i="11"/>
  <c r="F62" i="11"/>
  <c r="R316" i="29"/>
  <c r="O15" i="18" s="1"/>
  <c r="O16" i="18" s="1"/>
  <c r="M150" i="29"/>
  <c r="M148" i="29"/>
  <c r="N139" i="29"/>
  <c r="M149" i="29"/>
  <c r="M351" i="29"/>
  <c r="M65" i="21"/>
  <c r="P24" i="11"/>
  <c r="Q24" i="11" s="1"/>
  <c r="J169" i="29"/>
  <c r="J170" i="29"/>
  <c r="J171" i="29"/>
  <c r="J355" i="29"/>
  <c r="K160" i="29"/>
  <c r="L37" i="9"/>
  <c r="K15" i="19"/>
  <c r="J118" i="29" l="1"/>
  <c r="I129" i="29"/>
  <c r="I347" i="29"/>
  <c r="I128" i="29"/>
  <c r="I127" i="29"/>
  <c r="G27" i="26"/>
  <c r="I27" i="26" s="1"/>
  <c r="M12" i="6"/>
  <c r="G23" i="21"/>
  <c r="G13" i="21"/>
  <c r="J160" i="3"/>
  <c r="K164" i="3"/>
  <c r="P57" i="18"/>
  <c r="O60" i="18"/>
  <c r="O24" i="19" s="1"/>
  <c r="G12" i="21"/>
  <c r="G22" i="21"/>
  <c r="K82" i="3"/>
  <c r="J156" i="3"/>
  <c r="I144" i="3"/>
  <c r="I168" i="3" s="1"/>
  <c r="I387" i="29" s="1"/>
  <c r="F9" i="21"/>
  <c r="F19" i="21"/>
  <c r="J16" i="3"/>
  <c r="M147" i="28"/>
  <c r="P31" i="21" s="1"/>
  <c r="O31" i="21"/>
  <c r="I23" i="19"/>
  <c r="I61" i="18"/>
  <c r="J36" i="18"/>
  <c r="J37" i="18" s="1"/>
  <c r="H112" i="28"/>
  <c r="K32" i="18" s="1"/>
  <c r="G21" i="24"/>
  <c r="F31" i="13"/>
  <c r="P36" i="9"/>
  <c r="Q34" i="9"/>
  <c r="K52" i="11"/>
  <c r="K53" i="11" s="1"/>
  <c r="L49" i="11" s="1"/>
  <c r="K169" i="29"/>
  <c r="K170" i="29"/>
  <c r="K171" i="29"/>
  <c r="K355" i="29"/>
  <c r="L160" i="29"/>
  <c r="F69" i="9"/>
  <c r="F31" i="11"/>
  <c r="F33" i="11" s="1"/>
  <c r="O26" i="18"/>
  <c r="O21" i="19" s="1"/>
  <c r="N65" i="21"/>
  <c r="O11" i="19"/>
  <c r="Q49" i="21"/>
  <c r="P60" i="21"/>
  <c r="I108" i="29"/>
  <c r="I106" i="29"/>
  <c r="I107" i="29"/>
  <c r="J97" i="29"/>
  <c r="I343" i="29"/>
  <c r="K64" i="29"/>
  <c r="K65" i="29"/>
  <c r="K66" i="29"/>
  <c r="L55" i="29"/>
  <c r="K335" i="29"/>
  <c r="J255" i="29"/>
  <c r="J253" i="29"/>
  <c r="J254" i="29"/>
  <c r="K244" i="29"/>
  <c r="J371" i="29"/>
  <c r="K23" i="11"/>
  <c r="K61" i="9"/>
  <c r="N148" i="29"/>
  <c r="N149" i="29"/>
  <c r="N150" i="29"/>
  <c r="O139" i="29"/>
  <c r="N351" i="29"/>
  <c r="T272" i="29"/>
  <c r="S317" i="29"/>
  <c r="I192" i="29"/>
  <c r="I190" i="29"/>
  <c r="I191" i="29"/>
  <c r="J181" i="29"/>
  <c r="I359" i="29"/>
  <c r="H23" i="29"/>
  <c r="I13" i="29"/>
  <c r="H22" i="29"/>
  <c r="H327" i="29"/>
  <c r="H24" i="29"/>
  <c r="F32" i="13"/>
  <c r="O24" i="22"/>
  <c r="I31" i="13"/>
  <c r="K87" i="29"/>
  <c r="K86" i="29"/>
  <c r="K85" i="29"/>
  <c r="K339" i="29"/>
  <c r="L76" i="29"/>
  <c r="N16" i="18"/>
  <c r="M37" i="9"/>
  <c r="K213" i="29"/>
  <c r="K211" i="29"/>
  <c r="K212" i="29"/>
  <c r="K363" i="29"/>
  <c r="L202" i="29"/>
  <c r="H276" i="29"/>
  <c r="H321" i="29" s="1"/>
  <c r="H383" i="29" s="1"/>
  <c r="H391" i="29" s="1"/>
  <c r="H274" i="29"/>
  <c r="H375" i="29"/>
  <c r="I265" i="29"/>
  <c r="H275" i="29"/>
  <c r="T271" i="29"/>
  <c r="S316" i="29"/>
  <c r="M232" i="29"/>
  <c r="M233" i="29"/>
  <c r="N223" i="29"/>
  <c r="M234" i="29"/>
  <c r="M367" i="29"/>
  <c r="G60" i="13"/>
  <c r="I44" i="13"/>
  <c r="K43" i="29"/>
  <c r="K44" i="29"/>
  <c r="K45" i="29"/>
  <c r="L34" i="29"/>
  <c r="L60" i="3"/>
  <c r="H21" i="21"/>
  <c r="K152" i="3"/>
  <c r="H11" i="21"/>
  <c r="J296" i="29"/>
  <c r="J297" i="29"/>
  <c r="J295" i="29"/>
  <c r="K286" i="29"/>
  <c r="J379" i="29"/>
  <c r="K148" i="3"/>
  <c r="H20" i="21"/>
  <c r="L38" i="3"/>
  <c r="H10" i="21"/>
  <c r="J128" i="29" l="1"/>
  <c r="J129" i="29"/>
  <c r="J347" i="29"/>
  <c r="J127" i="29"/>
  <c r="K118" i="29"/>
  <c r="F34" i="13"/>
  <c r="O18" i="6"/>
  <c r="M18" i="6" s="1"/>
  <c r="L164" i="3"/>
  <c r="Q57" i="18"/>
  <c r="P60" i="18"/>
  <c r="P24" i="19" s="1"/>
  <c r="Q24" i="19" s="1"/>
  <c r="H23" i="21"/>
  <c r="K160" i="3"/>
  <c r="H13" i="21"/>
  <c r="Q31" i="21"/>
  <c r="H22" i="21"/>
  <c r="L82" i="3"/>
  <c r="K156" i="3"/>
  <c r="H12" i="21"/>
  <c r="G9" i="21"/>
  <c r="G19" i="21"/>
  <c r="J144" i="3"/>
  <c r="J168" i="3" s="1"/>
  <c r="J387" i="29" s="1"/>
  <c r="K16" i="3"/>
  <c r="O28" i="18"/>
  <c r="J23" i="19"/>
  <c r="J61" i="18"/>
  <c r="K36" i="18"/>
  <c r="K37" i="18" s="1"/>
  <c r="I112" i="28"/>
  <c r="L32" i="18" s="1"/>
  <c r="L52" i="11"/>
  <c r="L53" i="11" s="1"/>
  <c r="M49" i="11" s="1"/>
  <c r="J190" i="29"/>
  <c r="J191" i="29"/>
  <c r="J192" i="29"/>
  <c r="J359" i="29"/>
  <c r="K181" i="29"/>
  <c r="J106" i="29"/>
  <c r="J107" i="29"/>
  <c r="J108" i="29"/>
  <c r="K97" i="29"/>
  <c r="J343" i="29"/>
  <c r="C88" i="27"/>
  <c r="C89" i="27" s="1"/>
  <c r="F35" i="11"/>
  <c r="P15" i="18"/>
  <c r="T316" i="29"/>
  <c r="I276" i="29"/>
  <c r="I275" i="29"/>
  <c r="I320" i="29" s="1"/>
  <c r="F25" i="21" s="1"/>
  <c r="F26" i="21" s="1"/>
  <c r="I274" i="29"/>
  <c r="J265" i="29"/>
  <c r="I375" i="29"/>
  <c r="L23" i="11"/>
  <c r="L61" i="9"/>
  <c r="N11" i="19"/>
  <c r="N28" i="18"/>
  <c r="P12" i="19"/>
  <c r="O12" i="19"/>
  <c r="O15" i="19" s="1"/>
  <c r="I22" i="29"/>
  <c r="I23" i="29"/>
  <c r="I24" i="29"/>
  <c r="J13" i="29"/>
  <c r="I327" i="29"/>
  <c r="K253" i="29"/>
  <c r="K254" i="29"/>
  <c r="K255" i="29"/>
  <c r="L244" i="29"/>
  <c r="K371" i="29"/>
  <c r="F64" i="11"/>
  <c r="F65" i="11" s="1"/>
  <c r="F66" i="11" s="1"/>
  <c r="L49" i="13"/>
  <c r="L60" i="13" s="1"/>
  <c r="Q60" i="21"/>
  <c r="O65" i="21"/>
  <c r="I10" i="21"/>
  <c r="L148" i="3"/>
  <c r="I20" i="21"/>
  <c r="M38" i="3"/>
  <c r="I21" i="21"/>
  <c r="L152" i="3"/>
  <c r="I11" i="21"/>
  <c r="M60" i="3"/>
  <c r="L44" i="29"/>
  <c r="L45" i="29"/>
  <c r="L43" i="29"/>
  <c r="M34" i="29"/>
  <c r="O223" i="29"/>
  <c r="N232" i="29"/>
  <c r="N367" i="29"/>
  <c r="N233" i="29"/>
  <c r="N234" i="29"/>
  <c r="N37" i="9"/>
  <c r="P25" i="18"/>
  <c r="T317" i="29"/>
  <c r="O148" i="29"/>
  <c r="O149" i="29"/>
  <c r="O150" i="29"/>
  <c r="P139" i="29"/>
  <c r="O351" i="29"/>
  <c r="F80" i="9"/>
  <c r="F81" i="9" s="1"/>
  <c r="P24" i="22"/>
  <c r="Q24" i="22" s="1"/>
  <c r="L170" i="29"/>
  <c r="L171" i="29"/>
  <c r="L169" i="29"/>
  <c r="M160" i="29"/>
  <c r="L355" i="29"/>
  <c r="K297" i="29"/>
  <c r="K295" i="29"/>
  <c r="K296" i="29"/>
  <c r="L286" i="29"/>
  <c r="K379" i="29"/>
  <c r="H320" i="29"/>
  <c r="H319" i="29"/>
  <c r="L211" i="29"/>
  <c r="L212" i="29"/>
  <c r="L213" i="29"/>
  <c r="L363" i="29"/>
  <c r="M202" i="29"/>
  <c r="L86" i="29"/>
  <c r="L87" i="29"/>
  <c r="L85" i="29"/>
  <c r="M76" i="29"/>
  <c r="L339" i="29"/>
  <c r="L64" i="29"/>
  <c r="L65" i="29"/>
  <c r="L66" i="29"/>
  <c r="L335" i="29"/>
  <c r="M55" i="29"/>
  <c r="Q33" i="9"/>
  <c r="O15" i="6" s="1"/>
  <c r="O50" i="19"/>
  <c r="O55" i="19" s="1"/>
  <c r="K129" i="29" l="1"/>
  <c r="K347" i="29"/>
  <c r="K127" i="29"/>
  <c r="L118" i="29"/>
  <c r="K128" i="29"/>
  <c r="L31" i="13"/>
  <c r="Q12" i="6"/>
  <c r="O22" i="6"/>
  <c r="M15" i="6"/>
  <c r="M22" i="6" s="1"/>
  <c r="I13" i="21"/>
  <c r="L160" i="3"/>
  <c r="I23" i="21"/>
  <c r="M164" i="3"/>
  <c r="I57" i="13"/>
  <c r="I60" i="13" s="1"/>
  <c r="Q60" i="18"/>
  <c r="L156" i="3"/>
  <c r="I22" i="21"/>
  <c r="I12" i="21"/>
  <c r="M82" i="3"/>
  <c r="H9" i="21"/>
  <c r="K144" i="3"/>
  <c r="K168" i="3" s="1"/>
  <c r="K387" i="29" s="1"/>
  <c r="L16" i="3"/>
  <c r="H19" i="21"/>
  <c r="L36" i="18"/>
  <c r="L37" i="18" s="1"/>
  <c r="K61" i="18"/>
  <c r="K23" i="19"/>
  <c r="J112" i="28"/>
  <c r="M32" i="18" s="1"/>
  <c r="M52" i="11"/>
  <c r="L295" i="29"/>
  <c r="L296" i="29"/>
  <c r="L297" i="29"/>
  <c r="M286" i="29"/>
  <c r="L379" i="29"/>
  <c r="Q33" i="18"/>
  <c r="P15" i="6" s="1"/>
  <c r="F67" i="11"/>
  <c r="F45" i="11"/>
  <c r="I321" i="29"/>
  <c r="I383" i="29" s="1"/>
  <c r="I391" i="29" s="1"/>
  <c r="K106" i="29"/>
  <c r="K107" i="29"/>
  <c r="K108" i="29"/>
  <c r="L97" i="29"/>
  <c r="K343" i="29"/>
  <c r="E25" i="21"/>
  <c r="O367" i="29"/>
  <c r="O232" i="29"/>
  <c r="P223" i="29"/>
  <c r="O233" i="29"/>
  <c r="O234" i="29"/>
  <c r="J20" i="21"/>
  <c r="J10" i="21"/>
  <c r="N38" i="3"/>
  <c r="M148" i="3"/>
  <c r="Q12" i="19"/>
  <c r="J274" i="29"/>
  <c r="J276" i="29"/>
  <c r="J275" i="29"/>
  <c r="J375" i="29"/>
  <c r="K265" i="29"/>
  <c r="K190" i="29"/>
  <c r="K191" i="29"/>
  <c r="K192" i="29"/>
  <c r="K359" i="29"/>
  <c r="L181" i="29"/>
  <c r="F33" i="13"/>
  <c r="M65" i="29"/>
  <c r="M66" i="29"/>
  <c r="M64" i="29"/>
  <c r="N55" i="29"/>
  <c r="M335" i="29"/>
  <c r="M86" i="29"/>
  <c r="M87" i="29"/>
  <c r="M85" i="29"/>
  <c r="N76" i="29"/>
  <c r="M339" i="29"/>
  <c r="M211" i="29"/>
  <c r="M212" i="29"/>
  <c r="M213" i="29"/>
  <c r="N202" i="29"/>
  <c r="M363" i="29"/>
  <c r="P149" i="29"/>
  <c r="P150" i="29"/>
  <c r="P148" i="29"/>
  <c r="P351" i="29"/>
  <c r="Q139" i="29"/>
  <c r="M23" i="11"/>
  <c r="M61" i="9"/>
  <c r="M45" i="29"/>
  <c r="M43" i="29"/>
  <c r="M44" i="29"/>
  <c r="N34" i="29"/>
  <c r="N60" i="3"/>
  <c r="M152" i="3"/>
  <c r="J21" i="21"/>
  <c r="J11" i="21"/>
  <c r="P65" i="21"/>
  <c r="L253" i="29"/>
  <c r="L254" i="29"/>
  <c r="L255" i="29"/>
  <c r="M244" i="29"/>
  <c r="L371" i="29"/>
  <c r="I319" i="29"/>
  <c r="F15" i="21" s="1"/>
  <c r="F16" i="21" s="1"/>
  <c r="P16" i="18"/>
  <c r="Q15" i="18"/>
  <c r="E15" i="21"/>
  <c r="M171" i="29"/>
  <c r="M169" i="29"/>
  <c r="M170" i="29"/>
  <c r="M355" i="29"/>
  <c r="N160" i="29"/>
  <c r="F73" i="9"/>
  <c r="Q33" i="21"/>
  <c r="Q15" i="6" s="1"/>
  <c r="P26" i="18"/>
  <c r="P21" i="19" s="1"/>
  <c r="Q25" i="18"/>
  <c r="O37" i="9"/>
  <c r="J24" i="29"/>
  <c r="J327" i="29"/>
  <c r="K13" i="29"/>
  <c r="J23" i="29"/>
  <c r="J22" i="29"/>
  <c r="N15" i="19"/>
  <c r="F37" i="11"/>
  <c r="L129" i="29" l="1"/>
  <c r="L127" i="29"/>
  <c r="M118" i="29"/>
  <c r="L347" i="29"/>
  <c r="L128" i="29"/>
  <c r="O32" i="6"/>
  <c r="O28" i="6"/>
  <c r="O31" i="6"/>
  <c r="O27" i="6"/>
  <c r="O30" i="6"/>
  <c r="O26" i="6"/>
  <c r="O29" i="6"/>
  <c r="O25" i="6"/>
  <c r="M27" i="6"/>
  <c r="M30" i="6"/>
  <c r="M28" i="6"/>
  <c r="M25" i="6"/>
  <c r="M31" i="6"/>
  <c r="M26" i="6"/>
  <c r="M29" i="6"/>
  <c r="M32" i="6"/>
  <c r="N164" i="3"/>
  <c r="J23" i="21"/>
  <c r="M160" i="3"/>
  <c r="J13" i="21"/>
  <c r="J22" i="21"/>
  <c r="M156" i="3"/>
  <c r="J12" i="21"/>
  <c r="N82" i="3"/>
  <c r="I9" i="21"/>
  <c r="M16" i="3"/>
  <c r="L144" i="3"/>
  <c r="L168" i="3" s="1"/>
  <c r="L387" i="29" s="1"/>
  <c r="I19" i="21"/>
  <c r="M36" i="18"/>
  <c r="M37" i="18" s="1"/>
  <c r="L61" i="18"/>
  <c r="L23" i="19"/>
  <c r="K112" i="28"/>
  <c r="N32" i="18" s="1"/>
  <c r="F39" i="11"/>
  <c r="G8" i="11" s="1"/>
  <c r="P50" i="19"/>
  <c r="Q50" i="19" s="1"/>
  <c r="Q21" i="19"/>
  <c r="K21" i="21"/>
  <c r="O60" i="3"/>
  <c r="K11" i="21"/>
  <c r="N152" i="3"/>
  <c r="E26" i="21"/>
  <c r="M295" i="29"/>
  <c r="M296" i="29"/>
  <c r="M297" i="29"/>
  <c r="N286" i="29"/>
  <c r="M379" i="29"/>
  <c r="L33" i="13"/>
  <c r="I15" i="13"/>
  <c r="I16" i="13" s="1"/>
  <c r="J60" i="13" s="1"/>
  <c r="Q16" i="18"/>
  <c r="Q65" i="21"/>
  <c r="J321" i="29"/>
  <c r="J383" i="29" s="1"/>
  <c r="J391" i="29" s="1"/>
  <c r="K10" i="21"/>
  <c r="O38" i="3"/>
  <c r="K20" i="21"/>
  <c r="N148" i="3"/>
  <c r="L107" i="29"/>
  <c r="L108" i="29"/>
  <c r="L106" i="29"/>
  <c r="M97" i="29"/>
  <c r="L343" i="29"/>
  <c r="M254" i="29"/>
  <c r="M255" i="29"/>
  <c r="M253" i="29"/>
  <c r="N244" i="29"/>
  <c r="M371" i="29"/>
  <c r="N66" i="29"/>
  <c r="N64" i="29"/>
  <c r="N65" i="29"/>
  <c r="O55" i="29"/>
  <c r="N335" i="29"/>
  <c r="J320" i="29"/>
  <c r="K23" i="29"/>
  <c r="K22" i="29"/>
  <c r="K327" i="29"/>
  <c r="K24" i="29"/>
  <c r="L13" i="29"/>
  <c r="N23" i="11"/>
  <c r="N61" i="9"/>
  <c r="F74" i="9"/>
  <c r="F76" i="9" s="1"/>
  <c r="P37" i="9"/>
  <c r="E16" i="21"/>
  <c r="F12" i="22" s="1"/>
  <c r="P11" i="19"/>
  <c r="P28" i="18"/>
  <c r="E12" i="22"/>
  <c r="N43" i="29"/>
  <c r="N44" i="29"/>
  <c r="N45" i="29"/>
  <c r="O34" i="29"/>
  <c r="N212" i="29"/>
  <c r="N213" i="29"/>
  <c r="N211" i="29"/>
  <c r="N363" i="29"/>
  <c r="O202" i="29"/>
  <c r="K276" i="29"/>
  <c r="K274" i="29"/>
  <c r="K275" i="29"/>
  <c r="K320" i="29" s="1"/>
  <c r="H25" i="21" s="1"/>
  <c r="H26" i="21" s="1"/>
  <c r="K375" i="29"/>
  <c r="L265" i="29"/>
  <c r="J319" i="29"/>
  <c r="Q223" i="29"/>
  <c r="P234" i="29"/>
  <c r="P233" i="29"/>
  <c r="P367" i="29"/>
  <c r="P232" i="29"/>
  <c r="M53" i="11"/>
  <c r="N49" i="11" s="1"/>
  <c r="F42" i="11"/>
  <c r="I25" i="13"/>
  <c r="I26" i="13" s="1"/>
  <c r="Q26" i="18"/>
  <c r="N169" i="29"/>
  <c r="N170" i="29"/>
  <c r="N171" i="29"/>
  <c r="N355" i="29"/>
  <c r="O160" i="29"/>
  <c r="F11" i="22"/>
  <c r="F28" i="21"/>
  <c r="Q150" i="29"/>
  <c r="Q148" i="29"/>
  <c r="Q149" i="29"/>
  <c r="Q351" i="29"/>
  <c r="R139" i="29"/>
  <c r="N86" i="29"/>
  <c r="N87" i="29"/>
  <c r="N85" i="29"/>
  <c r="N339" i="29"/>
  <c r="O76" i="29"/>
  <c r="L191" i="29"/>
  <c r="L192" i="29"/>
  <c r="L190" i="29"/>
  <c r="M181" i="29"/>
  <c r="L359" i="29"/>
  <c r="I33" i="13"/>
  <c r="N118" i="29" l="1"/>
  <c r="M129" i="29"/>
  <c r="M347" i="29"/>
  <c r="M127" i="29"/>
  <c r="M128" i="29"/>
  <c r="J26" i="13"/>
  <c r="M33" i="6"/>
  <c r="M36" i="6" s="1"/>
  <c r="O33" i="6"/>
  <c r="O36" i="6" s="1"/>
  <c r="G11" i="17" s="1"/>
  <c r="N160" i="3"/>
  <c r="K13" i="21"/>
  <c r="K23" i="21"/>
  <c r="O164" i="3"/>
  <c r="K321" i="29"/>
  <c r="K383" i="29" s="1"/>
  <c r="K391" i="29" s="1"/>
  <c r="K12" i="21"/>
  <c r="K22" i="21"/>
  <c r="O82" i="3"/>
  <c r="N156" i="3"/>
  <c r="J19" i="21"/>
  <c r="N16" i="3"/>
  <c r="M144" i="3"/>
  <c r="M168" i="3" s="1"/>
  <c r="M387" i="29" s="1"/>
  <c r="J9" i="21"/>
  <c r="F15" i="22"/>
  <c r="N36" i="18"/>
  <c r="N37" i="18" s="1"/>
  <c r="M23" i="19"/>
  <c r="M61" i="18"/>
  <c r="L112" i="28"/>
  <c r="O32" i="18" s="1"/>
  <c r="M192" i="29"/>
  <c r="M190" i="29"/>
  <c r="M191" i="29"/>
  <c r="M359" i="29"/>
  <c r="N181" i="29"/>
  <c r="O87" i="29"/>
  <c r="O86" i="29"/>
  <c r="O339" i="29"/>
  <c r="O85" i="29"/>
  <c r="P76" i="29"/>
  <c r="L275" i="29"/>
  <c r="L274" i="29"/>
  <c r="L276" i="29"/>
  <c r="L321" i="29" s="1"/>
  <c r="L383" i="29" s="1"/>
  <c r="L391" i="29" s="1"/>
  <c r="L375" i="29"/>
  <c r="M265" i="29"/>
  <c r="R148" i="29"/>
  <c r="R149" i="29"/>
  <c r="R150" i="29"/>
  <c r="S139" i="29"/>
  <c r="R351" i="29"/>
  <c r="O213" i="29"/>
  <c r="O211" i="29"/>
  <c r="O212" i="29"/>
  <c r="O363" i="29"/>
  <c r="P202" i="29"/>
  <c r="P15" i="19"/>
  <c r="Q11" i="19"/>
  <c r="Q15" i="19" s="1"/>
  <c r="I9" i="20" s="1"/>
  <c r="I23" i="24" s="1"/>
  <c r="L23" i="29"/>
  <c r="L327" i="29"/>
  <c r="L22" i="29"/>
  <c r="M13" i="29"/>
  <c r="L24" i="29"/>
  <c r="M108" i="29"/>
  <c r="M106" i="29"/>
  <c r="M107" i="29"/>
  <c r="M343" i="29"/>
  <c r="N97" i="29"/>
  <c r="I21" i="24"/>
  <c r="Q28" i="18"/>
  <c r="I15" i="24"/>
  <c r="I14" i="24"/>
  <c r="O169" i="29"/>
  <c r="O170" i="29"/>
  <c r="O171" i="29"/>
  <c r="P160" i="29"/>
  <c r="O355" i="29"/>
  <c r="G28" i="11"/>
  <c r="F78" i="9"/>
  <c r="G62" i="11"/>
  <c r="N52" i="11"/>
  <c r="N53" i="11" s="1"/>
  <c r="O49" i="11" s="1"/>
  <c r="O43" i="29"/>
  <c r="O44" i="29"/>
  <c r="O45" i="29"/>
  <c r="P34" i="29"/>
  <c r="E28" i="21"/>
  <c r="E11" i="22"/>
  <c r="G12" i="22"/>
  <c r="O23" i="11"/>
  <c r="O61" i="9"/>
  <c r="O64" i="29"/>
  <c r="O65" i="29"/>
  <c r="O66" i="29"/>
  <c r="O335" i="29"/>
  <c r="P55" i="29"/>
  <c r="N296" i="29"/>
  <c r="N297" i="29"/>
  <c r="N295" i="29"/>
  <c r="O286" i="29"/>
  <c r="N379" i="29"/>
  <c r="E21" i="22"/>
  <c r="F21" i="22"/>
  <c r="L11" i="21"/>
  <c r="L21" i="21"/>
  <c r="P60" i="3"/>
  <c r="O152" i="3"/>
  <c r="Q232" i="29"/>
  <c r="Q367" i="29"/>
  <c r="Q233" i="29"/>
  <c r="R223" i="29"/>
  <c r="Q234" i="29"/>
  <c r="I30" i="20"/>
  <c r="G15" i="21"/>
  <c r="K319" i="29"/>
  <c r="H15" i="21" s="1"/>
  <c r="H16" i="21" s="1"/>
  <c r="Q36" i="9"/>
  <c r="G25" i="21"/>
  <c r="N255" i="29"/>
  <c r="N253" i="29"/>
  <c r="N254" i="29"/>
  <c r="O244" i="29"/>
  <c r="N371" i="29"/>
  <c r="O148" i="3"/>
  <c r="L20" i="21"/>
  <c r="P38" i="3"/>
  <c r="L10" i="21"/>
  <c r="L68" i="13"/>
  <c r="I24" i="23"/>
  <c r="P55" i="19"/>
  <c r="N127" i="29" l="1"/>
  <c r="O118" i="29"/>
  <c r="N128" i="29"/>
  <c r="N129" i="29"/>
  <c r="N347" i="29"/>
  <c r="P164" i="3"/>
  <c r="L13" i="21"/>
  <c r="L23" i="21"/>
  <c r="O160" i="3"/>
  <c r="L12" i="21"/>
  <c r="O156" i="3"/>
  <c r="L22" i="21"/>
  <c r="P82" i="3"/>
  <c r="K19" i="21"/>
  <c r="O16" i="3"/>
  <c r="N144" i="3"/>
  <c r="N168" i="3" s="1"/>
  <c r="N387" i="29" s="1"/>
  <c r="K9" i="21"/>
  <c r="O36" i="18"/>
  <c r="O37" i="18" s="1"/>
  <c r="N61" i="18"/>
  <c r="N23" i="19"/>
  <c r="M112" i="28"/>
  <c r="P32" i="18" s="1"/>
  <c r="F36" i="13"/>
  <c r="F37" i="13" s="1"/>
  <c r="Q37" i="9"/>
  <c r="I28" i="13"/>
  <c r="N190" i="29"/>
  <c r="N191" i="29"/>
  <c r="N192" i="29"/>
  <c r="O181" i="29"/>
  <c r="N359" i="29"/>
  <c r="O253" i="29"/>
  <c r="O254" i="29"/>
  <c r="O255" i="29"/>
  <c r="O371" i="29"/>
  <c r="P244" i="29"/>
  <c r="G16" i="21"/>
  <c r="O297" i="29"/>
  <c r="O295" i="29"/>
  <c r="O296" i="29"/>
  <c r="P286" i="29"/>
  <c r="O379" i="29"/>
  <c r="E15" i="22"/>
  <c r="P44" i="29"/>
  <c r="P45" i="29"/>
  <c r="P43" i="29"/>
  <c r="Q34" i="29"/>
  <c r="M23" i="29"/>
  <c r="N13" i="29"/>
  <c r="M22" i="29"/>
  <c r="M24" i="29"/>
  <c r="M327" i="29"/>
  <c r="S148" i="29"/>
  <c r="T148" i="29" s="1"/>
  <c r="S149" i="29"/>
  <c r="T149" i="29" s="1"/>
  <c r="S150" i="29"/>
  <c r="S351" i="29"/>
  <c r="T139" i="29"/>
  <c r="L319" i="29"/>
  <c r="M10" i="21"/>
  <c r="P148" i="3"/>
  <c r="M20" i="21"/>
  <c r="Q38" i="3"/>
  <c r="G26" i="21"/>
  <c r="F30" i="23"/>
  <c r="R367" i="29"/>
  <c r="S223" i="29"/>
  <c r="R233" i="29"/>
  <c r="R232" i="29"/>
  <c r="R234" i="29"/>
  <c r="F50" i="22"/>
  <c r="F55" i="22" s="1"/>
  <c r="P64" i="29"/>
  <c r="P65" i="29"/>
  <c r="P66" i="29"/>
  <c r="Q55" i="29"/>
  <c r="P335" i="29"/>
  <c r="G69" i="9"/>
  <c r="M275" i="29"/>
  <c r="M274" i="29"/>
  <c r="M319" i="29" s="1"/>
  <c r="J15" i="21" s="1"/>
  <c r="J16" i="21" s="1"/>
  <c r="M276" i="29"/>
  <c r="M321" i="29" s="1"/>
  <c r="M383" i="29" s="1"/>
  <c r="M391" i="29" s="1"/>
  <c r="N265" i="29"/>
  <c r="M375" i="29"/>
  <c r="L320" i="29"/>
  <c r="P170" i="29"/>
  <c r="P171" i="29"/>
  <c r="P169" i="29"/>
  <c r="Q160" i="29"/>
  <c r="P355" i="29"/>
  <c r="P23" i="11"/>
  <c r="Q23" i="11" s="1"/>
  <c r="P61" i="9"/>
  <c r="H11" i="22"/>
  <c r="H28" i="21"/>
  <c r="Q60" i="3"/>
  <c r="P152" i="3"/>
  <c r="M21" i="21"/>
  <c r="M11" i="21"/>
  <c r="E50" i="22"/>
  <c r="E55" i="22" s="1"/>
  <c r="O52" i="11"/>
  <c r="O53" i="11" s="1"/>
  <c r="P49" i="11" s="1"/>
  <c r="I24" i="24"/>
  <c r="F9" i="23"/>
  <c r="I16" i="24"/>
  <c r="N106" i="29"/>
  <c r="N107" i="29"/>
  <c r="N108" i="29"/>
  <c r="N343" i="29"/>
  <c r="O97" i="29"/>
  <c r="P211" i="29"/>
  <c r="P212" i="29"/>
  <c r="P213" i="29"/>
  <c r="P363" i="29"/>
  <c r="Q202" i="29"/>
  <c r="P85" i="29"/>
  <c r="P86" i="29"/>
  <c r="P87" i="29"/>
  <c r="Q76" i="29"/>
  <c r="P339" i="29"/>
  <c r="O127" i="29" l="1"/>
  <c r="P118" i="29"/>
  <c r="O129" i="29"/>
  <c r="O128" i="29"/>
  <c r="O347" i="29"/>
  <c r="P160" i="3"/>
  <c r="M13" i="21"/>
  <c r="M23" i="21"/>
  <c r="Q164" i="3"/>
  <c r="Q82" i="3"/>
  <c r="M22" i="21"/>
  <c r="P156" i="3"/>
  <c r="M12" i="21"/>
  <c r="O144" i="3"/>
  <c r="O168" i="3" s="1"/>
  <c r="O387" i="29" s="1"/>
  <c r="L19" i="21"/>
  <c r="L9" i="21"/>
  <c r="P16" i="3"/>
  <c r="O61" i="18"/>
  <c r="O23" i="19"/>
  <c r="P36" i="18"/>
  <c r="Q36" i="18" s="1"/>
  <c r="I36" i="13" s="1"/>
  <c r="Q32" i="18"/>
  <c r="P13" i="6" s="1"/>
  <c r="P22" i="6" s="1"/>
  <c r="B158" i="28"/>
  <c r="E32" i="21" s="1"/>
  <c r="Q85" i="29"/>
  <c r="Q86" i="29"/>
  <c r="Q87" i="29"/>
  <c r="R76" i="29"/>
  <c r="Q339" i="29"/>
  <c r="P52" i="11"/>
  <c r="P53" i="11" s="1"/>
  <c r="G80" i="9"/>
  <c r="G81" i="9" s="1"/>
  <c r="P253" i="29"/>
  <c r="P254" i="29"/>
  <c r="P255" i="29"/>
  <c r="P371" i="29"/>
  <c r="Q244" i="29"/>
  <c r="O190" i="29"/>
  <c r="O191" i="29"/>
  <c r="O192" i="29"/>
  <c r="O359" i="29"/>
  <c r="P181" i="29"/>
  <c r="O106" i="29"/>
  <c r="O107" i="29"/>
  <c r="O108" i="29"/>
  <c r="O343" i="29"/>
  <c r="P97" i="29"/>
  <c r="Q171" i="29"/>
  <c r="Q169" i="29"/>
  <c r="Q170" i="29"/>
  <c r="R160" i="29"/>
  <c r="Q355" i="29"/>
  <c r="S234" i="29"/>
  <c r="S232" i="29"/>
  <c r="T232" i="29" s="1"/>
  <c r="S367" i="29"/>
  <c r="S233" i="29"/>
  <c r="T233" i="29" s="1"/>
  <c r="T223" i="29"/>
  <c r="I15" i="21"/>
  <c r="J28" i="13"/>
  <c r="Q152" i="3"/>
  <c r="R60" i="3"/>
  <c r="N21" i="21"/>
  <c r="N11" i="21"/>
  <c r="I25" i="21"/>
  <c r="J11" i="22"/>
  <c r="Q65" i="29"/>
  <c r="Q66" i="29"/>
  <c r="Q64" i="29"/>
  <c r="R55" i="29"/>
  <c r="Q335" i="29"/>
  <c r="G21" i="22"/>
  <c r="H21" i="22"/>
  <c r="Q45" i="29"/>
  <c r="Q43" i="29"/>
  <c r="Q44" i="29"/>
  <c r="R34" i="29"/>
  <c r="P295" i="29"/>
  <c r="P296" i="29"/>
  <c r="P297" i="29"/>
  <c r="Q286" i="29"/>
  <c r="P379" i="29"/>
  <c r="Q211" i="29"/>
  <c r="Q212" i="29"/>
  <c r="Q213" i="29"/>
  <c r="R202" i="29"/>
  <c r="Q363" i="29"/>
  <c r="N275" i="29"/>
  <c r="N274" i="29"/>
  <c r="N276" i="29"/>
  <c r="N375" i="29"/>
  <c r="O265" i="29"/>
  <c r="R38" i="3"/>
  <c r="Q148" i="3"/>
  <c r="N20" i="21"/>
  <c r="N10" i="21"/>
  <c r="G37" i="13"/>
  <c r="F63" i="13"/>
  <c r="G63" i="13" s="1"/>
  <c r="F61" i="13"/>
  <c r="G61" i="13" s="1"/>
  <c r="M320" i="29"/>
  <c r="J25" i="21" s="1"/>
  <c r="J26" i="21" s="1"/>
  <c r="N23" i="29"/>
  <c r="O13" i="29"/>
  <c r="N327" i="29"/>
  <c r="N24" i="29"/>
  <c r="N22" i="29"/>
  <c r="G11" i="22"/>
  <c r="G28" i="21"/>
  <c r="I12" i="22"/>
  <c r="H12" i="22"/>
  <c r="H15" i="22" s="1"/>
  <c r="G17" i="24"/>
  <c r="Q61" i="9"/>
  <c r="P347" i="29" l="1"/>
  <c r="P128" i="29"/>
  <c r="Q118" i="29"/>
  <c r="P129" i="29"/>
  <c r="P127" i="29"/>
  <c r="P29" i="6"/>
  <c r="P32" i="6"/>
  <c r="P28" i="6"/>
  <c r="P31" i="6"/>
  <c r="P27" i="6"/>
  <c r="P30" i="6"/>
  <c r="P26" i="6"/>
  <c r="P25" i="6"/>
  <c r="R164" i="3"/>
  <c r="N13" i="21"/>
  <c r="N23" i="21"/>
  <c r="Q160" i="3"/>
  <c r="R82" i="3"/>
  <c r="Q156" i="3"/>
  <c r="N12" i="21"/>
  <c r="N22" i="21"/>
  <c r="P144" i="3"/>
  <c r="P168" i="3" s="1"/>
  <c r="P387" i="29" s="1"/>
  <c r="M9" i="21"/>
  <c r="M19" i="21"/>
  <c r="Q16" i="3"/>
  <c r="I32" i="13"/>
  <c r="I37" i="13" s="1"/>
  <c r="Q37" i="18"/>
  <c r="E36" i="21"/>
  <c r="P37" i="18"/>
  <c r="C158" i="28"/>
  <c r="F32" i="21" s="1"/>
  <c r="N319" i="29"/>
  <c r="Q295" i="29"/>
  <c r="Q296" i="29"/>
  <c r="Q297" i="29"/>
  <c r="Q379" i="29"/>
  <c r="R286" i="29"/>
  <c r="P191" i="29"/>
  <c r="P192" i="29"/>
  <c r="P190" i="29"/>
  <c r="Q181" i="29"/>
  <c r="P359" i="29"/>
  <c r="O276" i="29"/>
  <c r="O274" i="29"/>
  <c r="O275" i="29"/>
  <c r="O375" i="29"/>
  <c r="P265" i="29"/>
  <c r="N320" i="29"/>
  <c r="K25" i="21" s="1"/>
  <c r="K26" i="21" s="1"/>
  <c r="R43" i="29"/>
  <c r="R44" i="29"/>
  <c r="R45" i="29"/>
  <c r="S34" i="29"/>
  <c r="G50" i="22"/>
  <c r="G55" i="22" s="1"/>
  <c r="J28" i="21"/>
  <c r="Q254" i="29"/>
  <c r="Q255" i="29"/>
  <c r="Q253" i="29"/>
  <c r="R244" i="29"/>
  <c r="Q371" i="29"/>
  <c r="I10" i="12"/>
  <c r="E49" i="19"/>
  <c r="O23" i="29"/>
  <c r="O327" i="29"/>
  <c r="O22" i="29"/>
  <c r="O24" i="29"/>
  <c r="P13" i="29"/>
  <c r="I16" i="21"/>
  <c r="R169" i="29"/>
  <c r="R170" i="29"/>
  <c r="R171" i="29"/>
  <c r="R355" i="29"/>
  <c r="S160" i="29"/>
  <c r="Q52" i="11"/>
  <c r="G15" i="22"/>
  <c r="H50" i="22"/>
  <c r="H55" i="22" s="1"/>
  <c r="R86" i="29"/>
  <c r="R87" i="29"/>
  <c r="R85" i="29"/>
  <c r="R339" i="29"/>
  <c r="S76" i="29"/>
  <c r="O20" i="21"/>
  <c r="O10" i="21"/>
  <c r="S38" i="3"/>
  <c r="R148" i="3"/>
  <c r="N321" i="29"/>
  <c r="N383" i="29" s="1"/>
  <c r="N391" i="29" s="1"/>
  <c r="R212" i="29"/>
  <c r="R213" i="29"/>
  <c r="R211" i="29"/>
  <c r="R363" i="29"/>
  <c r="S202" i="29"/>
  <c r="R66" i="29"/>
  <c r="R64" i="29"/>
  <c r="R65" i="29"/>
  <c r="S55" i="29"/>
  <c r="R335" i="29"/>
  <c r="I26" i="21"/>
  <c r="I21" i="22" s="1"/>
  <c r="S60" i="3"/>
  <c r="R152" i="3"/>
  <c r="O21" i="21"/>
  <c r="O11" i="21"/>
  <c r="P107" i="29"/>
  <c r="P108" i="29"/>
  <c r="P106" i="29"/>
  <c r="P343" i="29"/>
  <c r="Q97" i="29"/>
  <c r="G73" i="9"/>
  <c r="Q129" i="29" l="1"/>
  <c r="R118" i="29"/>
  <c r="Q127" i="29"/>
  <c r="Q128" i="29"/>
  <c r="Q347" i="29"/>
  <c r="P33" i="6"/>
  <c r="P36" i="6" s="1"/>
  <c r="O23" i="21"/>
  <c r="O13" i="21"/>
  <c r="R160" i="3"/>
  <c r="S164" i="3"/>
  <c r="T126" i="3"/>
  <c r="O321" i="29"/>
  <c r="O383" i="29" s="1"/>
  <c r="O391" i="29" s="1"/>
  <c r="S82" i="3"/>
  <c r="O22" i="21"/>
  <c r="O12" i="21"/>
  <c r="R156" i="3"/>
  <c r="N19" i="21"/>
  <c r="N9" i="21"/>
  <c r="R16" i="3"/>
  <c r="Q144" i="3"/>
  <c r="Q168" i="3" s="1"/>
  <c r="Q387" i="29" s="1"/>
  <c r="P61" i="18"/>
  <c r="P23" i="19"/>
  <c r="Q23" i="19" s="1"/>
  <c r="Q61" i="18"/>
  <c r="I17" i="24"/>
  <c r="F36" i="21"/>
  <c r="F37" i="21" s="1"/>
  <c r="E37" i="21"/>
  <c r="J37" i="13"/>
  <c r="I61" i="13"/>
  <c r="J61" i="13" s="1"/>
  <c r="I63" i="13"/>
  <c r="J63" i="13" s="1"/>
  <c r="D158" i="28"/>
  <c r="G32" i="21" s="1"/>
  <c r="S148" i="3"/>
  <c r="P10" i="21"/>
  <c r="P20" i="21"/>
  <c r="T38" i="3"/>
  <c r="Q13" i="29"/>
  <c r="P327" i="29"/>
  <c r="P22" i="29"/>
  <c r="P24" i="29"/>
  <c r="P23" i="29"/>
  <c r="P275" i="29"/>
  <c r="P274" i="29"/>
  <c r="P276" i="29"/>
  <c r="P321" i="29" s="1"/>
  <c r="P383" i="29" s="1"/>
  <c r="P391" i="29" s="1"/>
  <c r="P375" i="29"/>
  <c r="Q265" i="29"/>
  <c r="Q108" i="29"/>
  <c r="Q106" i="29"/>
  <c r="Q107" i="29"/>
  <c r="Q343" i="29"/>
  <c r="R97" i="29"/>
  <c r="I50" i="22"/>
  <c r="I55" i="22" s="1"/>
  <c r="S213" i="29"/>
  <c r="S211" i="29"/>
  <c r="T211" i="29" s="1"/>
  <c r="S212" i="29"/>
  <c r="T212" i="29" s="1"/>
  <c r="S363" i="29"/>
  <c r="T202" i="29"/>
  <c r="S87" i="29"/>
  <c r="S85" i="29"/>
  <c r="T85" i="29" s="1"/>
  <c r="S86" i="29"/>
  <c r="T86" i="29" s="1"/>
  <c r="S339" i="29"/>
  <c r="T76" i="29"/>
  <c r="S169" i="29"/>
  <c r="T169" i="29" s="1"/>
  <c r="S170" i="29"/>
  <c r="T170" i="29" s="1"/>
  <c r="S171" i="29"/>
  <c r="S355" i="29"/>
  <c r="T160" i="29"/>
  <c r="G26" i="24"/>
  <c r="F10" i="20"/>
  <c r="G25" i="24"/>
  <c r="K15" i="21"/>
  <c r="S43" i="29"/>
  <c r="T43" i="29" s="1"/>
  <c r="S44" i="29"/>
  <c r="T44" i="29" s="1"/>
  <c r="S45" i="29"/>
  <c r="T34" i="29"/>
  <c r="O320" i="29"/>
  <c r="J21" i="22"/>
  <c r="S64" i="29"/>
  <c r="T64" i="29" s="1"/>
  <c r="S65" i="29"/>
  <c r="T65" i="29" s="1"/>
  <c r="S66" i="29"/>
  <c r="S335" i="29"/>
  <c r="T55" i="29"/>
  <c r="E52" i="19"/>
  <c r="E53" i="19" s="1"/>
  <c r="F49" i="19" s="1"/>
  <c r="G25" i="11"/>
  <c r="G74" i="9"/>
  <c r="G76" i="9" s="1"/>
  <c r="S152" i="3"/>
  <c r="P11" i="21"/>
  <c r="Q11" i="21" s="1"/>
  <c r="L11" i="13" s="1"/>
  <c r="P21" i="21"/>
  <c r="Q21" i="21" s="1"/>
  <c r="L21" i="13" s="1"/>
  <c r="T60" i="3"/>
  <c r="I11" i="22"/>
  <c r="K12" i="22"/>
  <c r="I28" i="21"/>
  <c r="J12" i="22"/>
  <c r="J15" i="22" s="1"/>
  <c r="R255" i="29"/>
  <c r="R253" i="29"/>
  <c r="R254" i="29"/>
  <c r="S244" i="29"/>
  <c r="R371" i="29"/>
  <c r="K21" i="22"/>
  <c r="O319" i="29"/>
  <c r="L15" i="21" s="1"/>
  <c r="L16" i="21" s="1"/>
  <c r="Q192" i="29"/>
  <c r="Q190" i="29"/>
  <c r="Q191" i="29"/>
  <c r="R181" i="29"/>
  <c r="Q359" i="29"/>
  <c r="R296" i="29"/>
  <c r="R297" i="29"/>
  <c r="R295" i="29"/>
  <c r="S286" i="29"/>
  <c r="R379" i="29"/>
  <c r="R127" i="29" l="1"/>
  <c r="S118" i="29"/>
  <c r="R128" i="29"/>
  <c r="R129" i="29"/>
  <c r="R347" i="29"/>
  <c r="P23" i="21"/>
  <c r="Q23" i="21" s="1"/>
  <c r="L23" i="13" s="1"/>
  <c r="P13" i="21"/>
  <c r="Q13" i="21" s="1"/>
  <c r="L13" i="13" s="1"/>
  <c r="S160" i="3"/>
  <c r="T104" i="3"/>
  <c r="P320" i="29"/>
  <c r="M25" i="21" s="1"/>
  <c r="M26" i="21" s="1"/>
  <c r="S156" i="3"/>
  <c r="P12" i="21"/>
  <c r="Q12" i="21" s="1"/>
  <c r="L12" i="13" s="1"/>
  <c r="P22" i="21"/>
  <c r="Q22" i="21" s="1"/>
  <c r="L22" i="13" s="1"/>
  <c r="T82" i="3"/>
  <c r="R144" i="3"/>
  <c r="R168" i="3" s="1"/>
  <c r="R387" i="29" s="1"/>
  <c r="S16" i="3"/>
  <c r="O19" i="21"/>
  <c r="O9" i="21"/>
  <c r="F61" i="21"/>
  <c r="F23" i="22"/>
  <c r="G36" i="21"/>
  <c r="E61" i="21"/>
  <c r="E23" i="22"/>
  <c r="E158" i="28"/>
  <c r="H32" i="21" s="1"/>
  <c r="L25" i="21"/>
  <c r="R106" i="29"/>
  <c r="R107" i="29"/>
  <c r="R108" i="29"/>
  <c r="R343" i="29"/>
  <c r="S97" i="29"/>
  <c r="R190" i="29"/>
  <c r="R191" i="29"/>
  <c r="R192" i="29"/>
  <c r="S181" i="29"/>
  <c r="R359" i="29"/>
  <c r="L11" i="22"/>
  <c r="P319" i="29"/>
  <c r="M15" i="21" s="1"/>
  <c r="M16" i="21" s="1"/>
  <c r="N12" i="22" s="1"/>
  <c r="Q20" i="21"/>
  <c r="S297" i="29"/>
  <c r="S295" i="29"/>
  <c r="S296" i="29"/>
  <c r="S379" i="29"/>
  <c r="T286" i="29"/>
  <c r="F52" i="19"/>
  <c r="K50" i="22"/>
  <c r="K55" i="22" s="1"/>
  <c r="I15" i="22"/>
  <c r="G31" i="11"/>
  <c r="G33" i="11" s="1"/>
  <c r="J50" i="22"/>
  <c r="J55" i="22" s="1"/>
  <c r="Q275" i="29"/>
  <c r="Q274" i="29"/>
  <c r="Q276" i="29"/>
  <c r="Q375" i="29"/>
  <c r="R265" i="29"/>
  <c r="Q10" i="21"/>
  <c r="S253" i="29"/>
  <c r="T253" i="29" s="1"/>
  <c r="S254" i="29"/>
  <c r="T254" i="29" s="1"/>
  <c r="S255" i="29"/>
  <c r="S371" i="29"/>
  <c r="T244" i="29"/>
  <c r="K16" i="21"/>
  <c r="Q22" i="29"/>
  <c r="Q24" i="29"/>
  <c r="R13" i="29"/>
  <c r="Q23" i="29"/>
  <c r="Q327" i="29"/>
  <c r="S347" i="29" l="1"/>
  <c r="T118" i="29"/>
  <c r="S127" i="29"/>
  <c r="T127" i="29" s="1"/>
  <c r="S128" i="29"/>
  <c r="T128" i="29" s="1"/>
  <c r="S129" i="29"/>
  <c r="Q319" i="29"/>
  <c r="N15" i="21" s="1"/>
  <c r="N16" i="21" s="1"/>
  <c r="N11" i="22" s="1"/>
  <c r="N15" i="22" s="1"/>
  <c r="P9" i="21"/>
  <c r="Q9" i="21" s="1"/>
  <c r="L9" i="13" s="1"/>
  <c r="S144" i="3"/>
  <c r="S168" i="3" s="1"/>
  <c r="S387" i="29" s="1"/>
  <c r="P19" i="21"/>
  <c r="Q19" i="21" s="1"/>
  <c r="L19" i="13" s="1"/>
  <c r="T16" i="3"/>
  <c r="H36" i="21"/>
  <c r="H37" i="21" s="1"/>
  <c r="G37" i="21"/>
  <c r="F158" i="28"/>
  <c r="I32" i="21" s="1"/>
  <c r="R22" i="29"/>
  <c r="R327" i="29"/>
  <c r="R24" i="29"/>
  <c r="R23" i="29"/>
  <c r="S13" i="29"/>
  <c r="K11" i="22"/>
  <c r="M12" i="22"/>
  <c r="K28" i="21"/>
  <c r="L12" i="22"/>
  <c r="L15" i="22" s="1"/>
  <c r="R275" i="29"/>
  <c r="R274" i="29"/>
  <c r="R319" i="29" s="1"/>
  <c r="O15" i="21" s="1"/>
  <c r="O16" i="21" s="1"/>
  <c r="R276" i="29"/>
  <c r="S265" i="29"/>
  <c r="R375" i="29"/>
  <c r="Q320" i="29"/>
  <c r="N25" i="21" s="1"/>
  <c r="N26" i="21" s="1"/>
  <c r="T296" i="29"/>
  <c r="L20" i="13"/>
  <c r="S106" i="29"/>
  <c r="T106" i="29" s="1"/>
  <c r="S107" i="29"/>
  <c r="T107" i="29" s="1"/>
  <c r="S108" i="29"/>
  <c r="S343" i="29"/>
  <c r="T97" i="29"/>
  <c r="S190" i="29"/>
  <c r="T190" i="29" s="1"/>
  <c r="S191" i="29"/>
  <c r="T191" i="29" s="1"/>
  <c r="S192" i="29"/>
  <c r="S359" i="29"/>
  <c r="T181" i="29"/>
  <c r="T295" i="29"/>
  <c r="L10" i="13"/>
  <c r="Q321" i="29"/>
  <c r="Q383" i="29" s="1"/>
  <c r="Q391" i="29" s="1"/>
  <c r="D88" i="27"/>
  <c r="D89" i="27" s="1"/>
  <c r="G35" i="11"/>
  <c r="G64" i="11"/>
  <c r="G65" i="11" s="1"/>
  <c r="G66" i="11" s="1"/>
  <c r="F53" i="19"/>
  <c r="G49" i="19" s="1"/>
  <c r="M11" i="22"/>
  <c r="M28" i="21"/>
  <c r="L26" i="21"/>
  <c r="R321" i="29" l="1"/>
  <c r="R383" i="29" s="1"/>
  <c r="R391" i="29" s="1"/>
  <c r="O12" i="22"/>
  <c r="M15" i="22"/>
  <c r="N21" i="22"/>
  <c r="N50" i="22" s="1"/>
  <c r="H61" i="21"/>
  <c r="H23" i="22"/>
  <c r="I36" i="21"/>
  <c r="I37" i="21" s="1"/>
  <c r="G61" i="21"/>
  <c r="G23" i="22"/>
  <c r="G158" i="28"/>
  <c r="J32" i="21" s="1"/>
  <c r="G52" i="19"/>
  <c r="G67" i="11"/>
  <c r="G45" i="11"/>
  <c r="O11" i="22"/>
  <c r="G37" i="11"/>
  <c r="N28" i="21"/>
  <c r="R320" i="29"/>
  <c r="O25" i="21" s="1"/>
  <c r="K15" i="22"/>
  <c r="L21" i="22"/>
  <c r="L28" i="21"/>
  <c r="M21" i="22"/>
  <c r="P12" i="22"/>
  <c r="S276" i="29"/>
  <c r="S275" i="29"/>
  <c r="S274" i="29"/>
  <c r="S375" i="29"/>
  <c r="T265" i="29"/>
  <c r="S24" i="29"/>
  <c r="S23" i="29"/>
  <c r="T23" i="29" s="1"/>
  <c r="S327" i="29"/>
  <c r="S22" i="29"/>
  <c r="T22" i="29" s="1"/>
  <c r="T13" i="29"/>
  <c r="Q12" i="22" l="1"/>
  <c r="O15" i="22"/>
  <c r="N55" i="22"/>
  <c r="I23" i="22"/>
  <c r="I61" i="21"/>
  <c r="J36" i="21"/>
  <c r="J37" i="21" s="1"/>
  <c r="H158" i="28"/>
  <c r="K32" i="21" s="1"/>
  <c r="G39" i="11"/>
  <c r="H8" i="11" s="1"/>
  <c r="M50" i="22"/>
  <c r="M55" i="22" s="1"/>
  <c r="S321" i="29"/>
  <c r="S383" i="29" s="1"/>
  <c r="S391" i="29" s="1"/>
  <c r="T274" i="29"/>
  <c r="S319" i="29"/>
  <c r="T275" i="29"/>
  <c r="S320" i="29"/>
  <c r="L50" i="22"/>
  <c r="L55" i="22" s="1"/>
  <c r="O26" i="21"/>
  <c r="G42" i="11"/>
  <c r="G53" i="19"/>
  <c r="H49" i="19" s="1"/>
  <c r="J61" i="21" l="1"/>
  <c r="J23" i="22"/>
  <c r="K36" i="21"/>
  <c r="K37" i="21" s="1"/>
  <c r="I158" i="28"/>
  <c r="L32" i="21" s="1"/>
  <c r="H28" i="11"/>
  <c r="H62" i="11"/>
  <c r="G78" i="9"/>
  <c r="H52" i="19"/>
  <c r="P15" i="21"/>
  <c r="T319" i="29"/>
  <c r="P25" i="21"/>
  <c r="T320" i="29"/>
  <c r="O21" i="22"/>
  <c r="O28" i="21"/>
  <c r="K23" i="22" l="1"/>
  <c r="K61" i="21"/>
  <c r="L36" i="21"/>
  <c r="L37" i="21" s="1"/>
  <c r="J158" i="28"/>
  <c r="M32" i="21" s="1"/>
  <c r="P26" i="21"/>
  <c r="P21" i="22" s="1"/>
  <c r="Q21" i="22" s="1"/>
  <c r="Q25" i="21"/>
  <c r="O50" i="22"/>
  <c r="O55" i="22" s="1"/>
  <c r="P16" i="21"/>
  <c r="Q15" i="21"/>
  <c r="H53" i="19"/>
  <c r="I49" i="19" s="1"/>
  <c r="H69" i="9"/>
  <c r="H31" i="11"/>
  <c r="H33" i="11" s="1"/>
  <c r="H64" i="11" s="1"/>
  <c r="H65" i="11" s="1"/>
  <c r="H66" i="11" s="1"/>
  <c r="L61" i="21" l="1"/>
  <c r="L23" i="22"/>
  <c r="M36" i="21"/>
  <c r="M37" i="21" s="1"/>
  <c r="K158" i="28"/>
  <c r="N32" i="21" s="1"/>
  <c r="H67" i="11"/>
  <c r="H45" i="11"/>
  <c r="H80" i="9"/>
  <c r="H81" i="9" s="1"/>
  <c r="P11" i="22"/>
  <c r="P28" i="21"/>
  <c r="I52" i="19"/>
  <c r="I53" i="19" s="1"/>
  <c r="J49" i="19" s="1"/>
  <c r="L25" i="13"/>
  <c r="L26" i="13" s="1"/>
  <c r="Q26" i="21"/>
  <c r="E88" i="27"/>
  <c r="E89" i="27" s="1"/>
  <c r="H35" i="11"/>
  <c r="L15" i="13"/>
  <c r="L16" i="13" s="1"/>
  <c r="Q16" i="21"/>
  <c r="P50" i="22"/>
  <c r="Q50" i="22" s="1"/>
  <c r="M23" i="22" l="1"/>
  <c r="M61" i="21"/>
  <c r="N36" i="21"/>
  <c r="N37" i="21" s="1"/>
  <c r="L158" i="28"/>
  <c r="O32" i="21" s="1"/>
  <c r="M158" i="28"/>
  <c r="P32" i="21" s="1"/>
  <c r="J52" i="19"/>
  <c r="M60" i="13"/>
  <c r="H37" i="11"/>
  <c r="M26" i="13"/>
  <c r="P15" i="22"/>
  <c r="Q11" i="22"/>
  <c r="Q15" i="22" s="1"/>
  <c r="I9" i="23" s="1"/>
  <c r="H73" i="9"/>
  <c r="P55" i="22"/>
  <c r="I30" i="23"/>
  <c r="K15" i="24"/>
  <c r="K21" i="24"/>
  <c r="Q28" i="21"/>
  <c r="K16" i="24" s="1"/>
  <c r="K14" i="24"/>
  <c r="N61" i="21" l="1"/>
  <c r="N23" i="22"/>
  <c r="P36" i="21"/>
  <c r="P37" i="21" s="1"/>
  <c r="Q32" i="21"/>
  <c r="Q13" i="6" s="1"/>
  <c r="Q22" i="6" s="1"/>
  <c r="O36" i="21"/>
  <c r="O37" i="21" s="1"/>
  <c r="K24" i="24"/>
  <c r="K23" i="24"/>
  <c r="H42" i="11"/>
  <c r="L28" i="13"/>
  <c r="H74" i="9"/>
  <c r="H76" i="9" s="1"/>
  <c r="H39" i="11"/>
  <c r="I8" i="11" s="1"/>
  <c r="J53" i="19"/>
  <c r="K49" i="19" s="1"/>
  <c r="Q32" i="6" l="1"/>
  <c r="Q31" i="6"/>
  <c r="Q27" i="6"/>
  <c r="Q26" i="6"/>
  <c r="Q29" i="6"/>
  <c r="Q28" i="6"/>
  <c r="Q30" i="6"/>
  <c r="Q25" i="6"/>
  <c r="Q36" i="21"/>
  <c r="L36" i="13" s="1"/>
  <c r="P61" i="21"/>
  <c r="P23" i="22"/>
  <c r="O61" i="21"/>
  <c r="O23" i="22"/>
  <c r="L32" i="13"/>
  <c r="K52" i="19"/>
  <c r="K53" i="19" s="1"/>
  <c r="L49" i="19" s="1"/>
  <c r="I62" i="11"/>
  <c r="I28" i="11"/>
  <c r="H78" i="9"/>
  <c r="M28" i="13"/>
  <c r="Q33" i="6" l="1"/>
  <c r="Q36" i="6" s="1"/>
  <c r="Q37" i="21"/>
  <c r="Q61" i="21" s="1"/>
  <c r="L37" i="13"/>
  <c r="L61" i="13" s="1"/>
  <c r="M61" i="13" s="1"/>
  <c r="Q23" i="22"/>
  <c r="L52" i="19"/>
  <c r="I69" i="9"/>
  <c r="I31" i="11"/>
  <c r="I33" i="11" s="1"/>
  <c r="I64" i="11" s="1"/>
  <c r="I65" i="11" s="1"/>
  <c r="I66" i="11" s="1"/>
  <c r="K17" i="24" l="1"/>
  <c r="L63" i="13"/>
  <c r="M63" i="13" s="1"/>
  <c r="M37" i="13"/>
  <c r="I67" i="11"/>
  <c r="I45" i="11"/>
  <c r="I80" i="9"/>
  <c r="I81" i="9" s="1"/>
  <c r="F88" i="27"/>
  <c r="F89" i="27" s="1"/>
  <c r="I35" i="11"/>
  <c r="L53" i="19"/>
  <c r="M49" i="19" s="1"/>
  <c r="I73" i="9" l="1"/>
  <c r="M52" i="19"/>
  <c r="M53" i="19" s="1"/>
  <c r="N49" i="19" s="1"/>
  <c r="I37" i="11"/>
  <c r="I39" i="11" s="1"/>
  <c r="J8" i="11" s="1"/>
  <c r="N52" i="19" l="1"/>
  <c r="I42" i="11"/>
  <c r="I74" i="9"/>
  <c r="I76" i="9" s="1"/>
  <c r="N53" i="19" l="1"/>
  <c r="O49" i="19" s="1"/>
  <c r="J62" i="11"/>
  <c r="J28" i="11"/>
  <c r="I78" i="9"/>
  <c r="O52" i="19" l="1"/>
  <c r="J69" i="9"/>
  <c r="J80" i="9" l="1"/>
  <c r="J81" i="9" s="1"/>
  <c r="O53" i="19"/>
  <c r="P49" i="19" s="1"/>
  <c r="J73" i="9" l="1"/>
  <c r="P52" i="19"/>
  <c r="P53" i="19" s="1"/>
  <c r="E49" i="22" l="1"/>
  <c r="I10" i="20"/>
  <c r="Q52" i="19"/>
  <c r="J25" i="11"/>
  <c r="J74" i="9"/>
  <c r="J76" i="9" s="1"/>
  <c r="I26" i="24" l="1"/>
  <c r="F10" i="23"/>
  <c r="I25" i="24"/>
  <c r="J31" i="11"/>
  <c r="J33" i="11" s="1"/>
  <c r="E52" i="22"/>
  <c r="E53" i="22" s="1"/>
  <c r="F49" i="22" s="1"/>
  <c r="F52" i="22" l="1"/>
  <c r="G88" i="27"/>
  <c r="G89" i="27" s="1"/>
  <c r="J35" i="11"/>
  <c r="J64" i="11"/>
  <c r="J65" i="11" s="1"/>
  <c r="J66" i="11" s="1"/>
  <c r="J37" i="11" l="1"/>
  <c r="J67" i="11"/>
  <c r="J45" i="11"/>
  <c r="F53" i="22"/>
  <c r="G49" i="22" s="1"/>
  <c r="J42" i="11" l="1"/>
  <c r="K28" i="11" s="1"/>
  <c r="G52" i="22"/>
  <c r="G53" i="22" s="1"/>
  <c r="H49" i="22" s="1"/>
  <c r="J39" i="11"/>
  <c r="K8" i="11" s="1"/>
  <c r="K62" i="11" l="1"/>
  <c r="J78" i="9"/>
  <c r="H52" i="22"/>
  <c r="K69" i="9"/>
  <c r="K31" i="11"/>
  <c r="K33" i="11" s="1"/>
  <c r="H88" i="27" s="1"/>
  <c r="H89" i="27" s="1"/>
  <c r="K35" i="11" l="1"/>
  <c r="K80" i="9"/>
  <c r="K81" i="9" s="1"/>
  <c r="K64" i="11"/>
  <c r="K65" i="11" s="1"/>
  <c r="K66" i="11" s="1"/>
  <c r="H53" i="22"/>
  <c r="I49" i="22" s="1"/>
  <c r="K37" i="11" l="1"/>
  <c r="K67" i="11"/>
  <c r="K45" i="11"/>
  <c r="I52" i="22"/>
  <c r="K73" i="9"/>
  <c r="K74" i="9" l="1"/>
  <c r="K76" i="9" s="1"/>
  <c r="K42" i="11"/>
  <c r="I53" i="22"/>
  <c r="J49" i="22" s="1"/>
  <c r="K39" i="11"/>
  <c r="L8" i="11" s="1"/>
  <c r="K78" i="9" l="1"/>
  <c r="L28" i="11"/>
  <c r="L62" i="11"/>
  <c r="J52" i="22"/>
  <c r="L69" i="9" l="1"/>
  <c r="L31" i="11"/>
  <c r="L33" i="11" s="1"/>
  <c r="J53" i="22"/>
  <c r="K49" i="22" s="1"/>
  <c r="K52" i="22" l="1"/>
  <c r="K53" i="22" s="1"/>
  <c r="L49" i="22" s="1"/>
  <c r="I88" i="27"/>
  <c r="I89" i="27" s="1"/>
  <c r="L35" i="11"/>
  <c r="L64" i="11"/>
  <c r="L65" i="11" s="1"/>
  <c r="L66" i="11" s="1"/>
  <c r="L80" i="9"/>
  <c r="L81" i="9" s="1"/>
  <c r="L52" i="22" l="1"/>
  <c r="L53" i="22" s="1"/>
  <c r="M49" i="22" s="1"/>
  <c r="L37" i="11"/>
  <c r="L73" i="9"/>
  <c r="L67" i="11"/>
  <c r="L45" i="11"/>
  <c r="L42" i="11" l="1"/>
  <c r="L78" i="9" s="1"/>
  <c r="M52" i="22"/>
  <c r="M53" i="22" s="1"/>
  <c r="N49" i="22" s="1"/>
  <c r="L39" i="11"/>
  <c r="M8" i="11" s="1"/>
  <c r="L74" i="9"/>
  <c r="L76" i="9" s="1"/>
  <c r="M28" i="11" l="1"/>
  <c r="M69" i="9" s="1"/>
  <c r="M80" i="9" s="1"/>
  <c r="M81" i="9" s="1"/>
  <c r="M62" i="11"/>
  <c r="N52" i="22"/>
  <c r="N53" i="22" s="1"/>
  <c r="O49" i="22" s="1"/>
  <c r="O52" i="22" l="1"/>
  <c r="M73" i="9"/>
  <c r="M25" i="11" l="1"/>
  <c r="M74" i="9"/>
  <c r="M76" i="9" s="1"/>
  <c r="O53" i="22"/>
  <c r="P49" i="22" s="1"/>
  <c r="P52" i="22" l="1"/>
  <c r="P53" i="22" s="1"/>
  <c r="I10" i="23" s="1"/>
  <c r="M31" i="11"/>
  <c r="M33" i="11" s="1"/>
  <c r="K26" i="24" l="1"/>
  <c r="K25" i="24"/>
  <c r="J88" i="27"/>
  <c r="J89" i="27" s="1"/>
  <c r="M35" i="11"/>
  <c r="M64" i="11"/>
  <c r="M65" i="11" s="1"/>
  <c r="M66" i="11" s="1"/>
  <c r="Q52" i="22"/>
  <c r="M37" i="11" l="1"/>
  <c r="M67" i="11"/>
  <c r="M45" i="11"/>
  <c r="M39" i="11" l="1"/>
  <c r="N8" i="11" s="1"/>
  <c r="M42" i="11"/>
  <c r="N62" i="11" l="1"/>
  <c r="N28" i="11"/>
  <c r="M78" i="9"/>
  <c r="N69" i="9" l="1"/>
  <c r="N31" i="11"/>
  <c r="N33" i="11" s="1"/>
  <c r="K88" i="27" l="1"/>
  <c r="K89" i="27" s="1"/>
  <c r="N35" i="11"/>
  <c r="N64" i="11"/>
  <c r="N65" i="11" s="1"/>
  <c r="N66" i="11" s="1"/>
  <c r="N80" i="9"/>
  <c r="N81" i="9" s="1"/>
  <c r="N67" i="11" l="1"/>
  <c r="N45" i="11"/>
  <c r="N37" i="11"/>
  <c r="N73" i="9"/>
  <c r="N42" i="11" l="1"/>
  <c r="N78" i="9" s="1"/>
  <c r="N39" i="11"/>
  <c r="O8" i="11" s="1"/>
  <c r="N74" i="9"/>
  <c r="N76" i="9" s="1"/>
  <c r="O28" i="11" l="1"/>
  <c r="O69" i="9" s="1"/>
  <c r="O62" i="11"/>
  <c r="O31" i="11" l="1"/>
  <c r="O33" i="11" s="1"/>
  <c r="L88" i="27" s="1"/>
  <c r="L89" i="27" s="1"/>
  <c r="O80" i="9"/>
  <c r="O81" i="9" s="1"/>
  <c r="O64" i="11" l="1"/>
  <c r="O65" i="11" s="1"/>
  <c r="O66" i="11" s="1"/>
  <c r="O67" i="11" s="1"/>
  <c r="O35" i="11"/>
  <c r="O37" i="11" s="1"/>
  <c r="O73" i="9"/>
  <c r="O45" i="11" l="1"/>
  <c r="O42" i="11" s="1"/>
  <c r="O39" i="11"/>
  <c r="P8" i="11" s="1"/>
  <c r="O74" i="9"/>
  <c r="O76" i="9" s="1"/>
  <c r="P28" i="11" l="1"/>
  <c r="P62" i="11"/>
  <c r="O78" i="9"/>
  <c r="P69" i="9" l="1"/>
  <c r="Q28" i="11"/>
  <c r="P80" i="9" l="1"/>
  <c r="P81" i="9" s="1"/>
  <c r="P73" i="9" s="1"/>
  <c r="Q69" i="9"/>
  <c r="Q73" i="9" l="1"/>
  <c r="F76" i="13" s="1"/>
  <c r="P25" i="11"/>
  <c r="G38" i="7"/>
  <c r="G42" i="7" s="1"/>
  <c r="G44" i="7" s="1"/>
  <c r="F72" i="13"/>
  <c r="I38" i="7"/>
  <c r="I42" i="7" s="1"/>
  <c r="I44" i="7" s="1"/>
  <c r="P74" i="9"/>
  <c r="P76" i="9" s="1"/>
  <c r="F77" i="13" l="1"/>
  <c r="G77" i="13" s="1"/>
  <c r="Q74" i="9"/>
  <c r="Q76" i="9" s="1"/>
  <c r="I42" i="12" s="1"/>
  <c r="P31" i="11"/>
  <c r="P33" i="11" s="1"/>
  <c r="Q25" i="11"/>
  <c r="Q31" i="11" s="1"/>
  <c r="E110" i="3"/>
  <c r="E44" i="3"/>
  <c r="G12" i="17"/>
  <c r="G13" i="17" s="1"/>
  <c r="G15" i="17" s="1"/>
  <c r="G18" i="17" s="1"/>
  <c r="G44" i="26" s="1"/>
  <c r="I44" i="26" s="1"/>
  <c r="E22" i="3"/>
  <c r="E66" i="3"/>
  <c r="E132" i="3"/>
  <c r="E88" i="3"/>
  <c r="G18" i="24" l="1"/>
  <c r="G30" i="26"/>
  <c r="I30" i="26" s="1"/>
  <c r="G28" i="26"/>
  <c r="I28" i="26" s="1"/>
  <c r="F79" i="13"/>
  <c r="G79" i="13" s="1"/>
  <c r="G31" i="26" s="1"/>
  <c r="I31" i="26" s="1"/>
  <c r="E69" i="3"/>
  <c r="E70" i="3" s="1"/>
  <c r="E67" i="3"/>
  <c r="F67" i="3" s="1"/>
  <c r="E113" i="3"/>
  <c r="E114" i="3" s="1"/>
  <c r="E111" i="3"/>
  <c r="F111" i="3" s="1"/>
  <c r="E23" i="3"/>
  <c r="F23" i="3" s="1"/>
  <c r="E25" i="3"/>
  <c r="E26" i="3" s="1"/>
  <c r="E89" i="3"/>
  <c r="F89" i="3" s="1"/>
  <c r="E91" i="3"/>
  <c r="E92" i="3" s="1"/>
  <c r="M88" i="27"/>
  <c r="M89" i="27" s="1"/>
  <c r="Q33" i="11"/>
  <c r="P35" i="11"/>
  <c r="P64" i="11"/>
  <c r="P65" i="11" s="1"/>
  <c r="P66" i="11" s="1"/>
  <c r="E133" i="3"/>
  <c r="F133" i="3" s="1"/>
  <c r="E135" i="3"/>
  <c r="E136" i="3" s="1"/>
  <c r="E47" i="3"/>
  <c r="E48" i="3" s="1"/>
  <c r="E45" i="3"/>
  <c r="F45" i="3" s="1"/>
  <c r="I44" i="12"/>
  <c r="F42" i="20"/>
  <c r="P37" i="11" l="1"/>
  <c r="F44" i="20"/>
  <c r="P67" i="11"/>
  <c r="P45" i="11"/>
  <c r="G19" i="24"/>
  <c r="P39" i="11" l="1"/>
  <c r="I8" i="12" s="1"/>
  <c r="Q37" i="11"/>
  <c r="G34" i="26" s="1"/>
  <c r="P42" i="11"/>
  <c r="E8" i="19" l="1"/>
  <c r="G35" i="26"/>
  <c r="I35" i="26" s="1"/>
  <c r="I34" i="26"/>
  <c r="F8" i="20"/>
  <c r="F13" i="20" s="1"/>
  <c r="F26" i="20" s="1"/>
  <c r="I13" i="12"/>
  <c r="I26" i="12" s="1"/>
  <c r="I36" i="12"/>
  <c r="F81" i="13"/>
  <c r="P78" i="9"/>
  <c r="A78" i="9" s="1"/>
  <c r="E62" i="19"/>
  <c r="E64" i="19" s="1"/>
  <c r="E65" i="19" s="1"/>
  <c r="E28" i="19"/>
  <c r="A52" i="1"/>
  <c r="I52" i="1"/>
  <c r="E69" i="18" l="1"/>
  <c r="E31" i="19"/>
  <c r="E33" i="19" s="1"/>
  <c r="G20" i="24"/>
  <c r="G27" i="24"/>
  <c r="F36" i="20"/>
  <c r="F37" i="20" s="1"/>
  <c r="F46" i="20" s="1"/>
  <c r="F49" i="20" s="1"/>
  <c r="I37" i="12"/>
  <c r="N88" i="27" l="1"/>
  <c r="N89" i="27" s="1"/>
  <c r="E35" i="19"/>
  <c r="E66" i="19"/>
  <c r="G12" i="24"/>
  <c r="G9" i="24"/>
  <c r="I46" i="12"/>
  <c r="G8" i="24"/>
  <c r="G41" i="26"/>
  <c r="I41" i="26" s="1"/>
  <c r="G11" i="24"/>
  <c r="E80" i="18"/>
  <c r="E81" i="18" s="1"/>
  <c r="E67" i="19" l="1"/>
  <c r="E45" i="19"/>
  <c r="I49" i="12"/>
  <c r="G40" i="26"/>
  <c r="I40" i="26" s="1"/>
  <c r="E37" i="19"/>
  <c r="E73" i="18"/>
  <c r="E74" i="18" l="1"/>
  <c r="E76" i="18" s="1"/>
  <c r="E42" i="19"/>
  <c r="E39" i="19"/>
  <c r="F8" i="19" s="1"/>
  <c r="F28" i="19" l="1"/>
  <c r="E78" i="18"/>
  <c r="F62" i="19"/>
  <c r="F69" i="18" l="1"/>
  <c r="F31" i="19"/>
  <c r="F33" i="19" s="1"/>
  <c r="O88" i="27" l="1"/>
  <c r="O89" i="27" s="1"/>
  <c r="F35" i="19"/>
  <c r="F80" i="18"/>
  <c r="F81" i="18" s="1"/>
  <c r="F64" i="19"/>
  <c r="F65" i="19" s="1"/>
  <c r="F66" i="19" s="1"/>
  <c r="F67" i="19" l="1"/>
  <c r="F45" i="19"/>
  <c r="F37" i="19"/>
  <c r="F73" i="18"/>
  <c r="F39" i="19" l="1"/>
  <c r="G8" i="19" s="1"/>
  <c r="F42" i="19"/>
  <c r="F74" i="18"/>
  <c r="F76" i="18" s="1"/>
  <c r="G28" i="19" l="1"/>
  <c r="G62" i="19"/>
  <c r="F78" i="18"/>
  <c r="G69" i="18" l="1"/>
  <c r="G80" i="18" l="1"/>
  <c r="G81" i="18" s="1"/>
  <c r="G73" i="18" l="1"/>
  <c r="G25" i="19" l="1"/>
  <c r="G74" i="18"/>
  <c r="G76" i="18" s="1"/>
  <c r="G31" i="19" l="1"/>
  <c r="G33" i="19" s="1"/>
  <c r="P88" i="27" l="1"/>
  <c r="P89" i="27" s="1"/>
  <c r="G35" i="19"/>
  <c r="G64" i="19"/>
  <c r="G65" i="19" s="1"/>
  <c r="G66" i="19" s="1"/>
  <c r="G67" i="19" l="1"/>
  <c r="G45" i="19"/>
  <c r="G37" i="19"/>
  <c r="G39" i="19" l="1"/>
  <c r="H8" i="19" s="1"/>
  <c r="G42" i="19"/>
  <c r="H28" i="19" l="1"/>
  <c r="G78" i="18"/>
  <c r="H62" i="19"/>
  <c r="H69" i="18" l="1"/>
  <c r="H31" i="19"/>
  <c r="H33" i="19" s="1"/>
  <c r="Q88" i="27" l="1"/>
  <c r="Q89" i="27" s="1"/>
  <c r="H35" i="19"/>
  <c r="H80" i="18"/>
  <c r="H81" i="18" s="1"/>
  <c r="H64" i="19"/>
  <c r="H65" i="19" s="1"/>
  <c r="H66" i="19" s="1"/>
  <c r="H37" i="19" l="1"/>
  <c r="H67" i="19"/>
  <c r="H45" i="19"/>
  <c r="H73" i="18"/>
  <c r="H42" i="19" l="1"/>
  <c r="H74" i="18"/>
  <c r="H76" i="18" s="1"/>
  <c r="H39" i="19"/>
  <c r="I8" i="19" s="1"/>
  <c r="H78" i="18" l="1"/>
  <c r="I62" i="19"/>
  <c r="I28" i="19"/>
  <c r="I69" i="18" l="1"/>
  <c r="I31" i="19"/>
  <c r="I33" i="19" s="1"/>
  <c r="I80" i="18" l="1"/>
  <c r="I81" i="18" s="1"/>
  <c r="R88" i="27"/>
  <c r="R89" i="27" s="1"/>
  <c r="I35" i="19"/>
  <c r="I64" i="19"/>
  <c r="I65" i="19" s="1"/>
  <c r="I66" i="19" s="1"/>
  <c r="I67" i="19" l="1"/>
  <c r="I45" i="19"/>
  <c r="I73" i="18"/>
  <c r="I37" i="19"/>
  <c r="I74" i="18" l="1"/>
  <c r="I76" i="18" s="1"/>
  <c r="I42" i="19"/>
  <c r="I39" i="19"/>
  <c r="J8" i="19" s="1"/>
  <c r="J28" i="19" l="1"/>
  <c r="J69" i="18" s="1"/>
  <c r="J62" i="19"/>
  <c r="I78" i="18"/>
  <c r="J80" i="18" l="1"/>
  <c r="J81" i="18" s="1"/>
  <c r="J73" i="18" l="1"/>
  <c r="J25" i="19" l="1"/>
  <c r="J74" i="18"/>
  <c r="J76" i="18" s="1"/>
  <c r="J31" i="19" l="1"/>
  <c r="J33" i="19" s="1"/>
  <c r="S88" i="27" l="1"/>
  <c r="S89" i="27" s="1"/>
  <c r="J35" i="19"/>
  <c r="J64" i="19"/>
  <c r="J65" i="19" s="1"/>
  <c r="J66" i="19" s="1"/>
  <c r="J67" i="19" l="1"/>
  <c r="J45" i="19"/>
  <c r="J37" i="19"/>
  <c r="J42" i="19" l="1"/>
  <c r="K62" i="19" s="1"/>
  <c r="J39" i="19"/>
  <c r="K8" i="19" s="1"/>
  <c r="J78" i="18" l="1"/>
  <c r="K28" i="19"/>
  <c r="K69" i="18" s="1"/>
  <c r="K31" i="19" l="1"/>
  <c r="K33" i="19" s="1"/>
  <c r="T88" i="27" s="1"/>
  <c r="T89" i="27" s="1"/>
  <c r="K80" i="18"/>
  <c r="K81" i="18" s="1"/>
  <c r="K64" i="19" l="1"/>
  <c r="K65" i="19" s="1"/>
  <c r="K66" i="19" s="1"/>
  <c r="K67" i="19" s="1"/>
  <c r="K35" i="19"/>
  <c r="K37" i="19" s="1"/>
  <c r="K73" i="18"/>
  <c r="K45" i="19" l="1"/>
  <c r="K42" i="19" s="1"/>
  <c r="K39" i="19"/>
  <c r="L8" i="19" s="1"/>
  <c r="K74" i="18"/>
  <c r="K76" i="18" s="1"/>
  <c r="K78" i="18" l="1"/>
  <c r="L28" i="19"/>
  <c r="L62" i="19"/>
  <c r="L69" i="18" l="1"/>
  <c r="L31" i="19"/>
  <c r="L33" i="19" s="1"/>
  <c r="L64" i="19" s="1"/>
  <c r="L65" i="19" s="1"/>
  <c r="U88" i="27" l="1"/>
  <c r="U89" i="27" s="1"/>
  <c r="L35" i="19"/>
  <c r="L80" i="18"/>
  <c r="L81" i="18" s="1"/>
  <c r="L66" i="19"/>
  <c r="L73" i="18" l="1"/>
  <c r="L37" i="19"/>
  <c r="L67" i="19"/>
  <c r="L45" i="19"/>
  <c r="L42" i="19" l="1"/>
  <c r="M62" i="19" s="1"/>
  <c r="L39" i="19"/>
  <c r="M8" i="19" s="1"/>
  <c r="L74" i="18"/>
  <c r="L76" i="18" s="1"/>
  <c r="M28" i="19" l="1"/>
  <c r="M69" i="18" s="1"/>
  <c r="M80" i="18" s="1"/>
  <c r="M81" i="18" s="1"/>
  <c r="L78" i="18"/>
  <c r="M73" i="18" l="1"/>
  <c r="M25" i="19" l="1"/>
  <c r="M74" i="18"/>
  <c r="M76" i="18" s="1"/>
  <c r="M31" i="19" l="1"/>
  <c r="M33" i="19" s="1"/>
  <c r="M64" i="19" s="1"/>
  <c r="M65" i="19" s="1"/>
  <c r="V88" i="27" l="1"/>
  <c r="V89" i="27" s="1"/>
  <c r="M66" i="19"/>
  <c r="M35" i="19"/>
  <c r="M37" i="19" l="1"/>
  <c r="M67" i="19"/>
  <c r="M45" i="19"/>
  <c r="M42" i="19" l="1"/>
  <c r="M39" i="19"/>
  <c r="N8" i="19" s="1"/>
  <c r="M78" i="18" l="1"/>
  <c r="N62" i="19"/>
  <c r="N28" i="19"/>
  <c r="N69" i="18" l="1"/>
  <c r="N31" i="19"/>
  <c r="N33" i="19" s="1"/>
  <c r="N64" i="19" s="1"/>
  <c r="N65" i="19" s="1"/>
  <c r="W88" i="27" l="1"/>
  <c r="W89" i="27" s="1"/>
  <c r="N35" i="19"/>
  <c r="N66" i="19"/>
  <c r="N80" i="18"/>
  <c r="N81" i="18" s="1"/>
  <c r="N67" i="19" l="1"/>
  <c r="N45" i="19"/>
  <c r="N37" i="19"/>
  <c r="N73" i="18"/>
  <c r="N42" i="19" l="1"/>
  <c r="O62" i="19" s="1"/>
  <c r="N39" i="19"/>
  <c r="O8" i="19" s="1"/>
  <c r="N74" i="18"/>
  <c r="N76" i="18" s="1"/>
  <c r="N78" i="18" l="1"/>
  <c r="O28" i="19"/>
  <c r="O69" i="18" s="1"/>
  <c r="O31" i="19" l="1"/>
  <c r="O33" i="19" s="1"/>
  <c r="O80" i="18"/>
  <c r="O81" i="18" s="1"/>
  <c r="X88" i="27" l="1"/>
  <c r="X89" i="27" s="1"/>
  <c r="O64" i="19"/>
  <c r="O65" i="19" s="1"/>
  <c r="O66" i="19" s="1"/>
  <c r="O45" i="19" s="1"/>
  <c r="O35" i="19"/>
  <c r="O37" i="19" s="1"/>
  <c r="O73" i="18"/>
  <c r="O67" i="19" l="1"/>
  <c r="O39" i="19" s="1"/>
  <c r="P8" i="19" s="1"/>
  <c r="O42" i="19"/>
  <c r="O78" i="18" s="1"/>
  <c r="O74" i="18"/>
  <c r="O76" i="18" s="1"/>
  <c r="P62" i="19" l="1"/>
  <c r="P28" i="19"/>
  <c r="P69" i="18" s="1"/>
  <c r="Q28" i="19" l="1"/>
  <c r="P80" i="18"/>
  <c r="P81" i="18" s="1"/>
  <c r="P73" i="18" s="1"/>
  <c r="Q69" i="18"/>
  <c r="I72" i="13" l="1"/>
  <c r="J38" i="7"/>
  <c r="J42" i="7" s="1"/>
  <c r="J44" i="7" s="1"/>
  <c r="Q73" i="18"/>
  <c r="I76" i="13" s="1"/>
  <c r="P25" i="19"/>
  <c r="P74" i="18"/>
  <c r="P76" i="18" s="1"/>
  <c r="Q74" i="18" l="1"/>
  <c r="Q76" i="18" s="1"/>
  <c r="P31" i="19"/>
  <c r="P33" i="19" s="1"/>
  <c r="P64" i="19" s="1"/>
  <c r="P65" i="19" s="1"/>
  <c r="Q25" i="19"/>
  <c r="Q31" i="19" s="1"/>
  <c r="I77" i="13"/>
  <c r="J77" i="13" s="1"/>
  <c r="Y88" i="27" l="1"/>
  <c r="Y89" i="27" s="1"/>
  <c r="Q33" i="19"/>
  <c r="P35" i="19"/>
  <c r="P66" i="19"/>
  <c r="I79" i="13"/>
  <c r="J79" i="13" s="1"/>
  <c r="I18" i="24"/>
  <c r="I42" i="20"/>
  <c r="I44" i="20" l="1"/>
  <c r="F42" i="23"/>
  <c r="P37" i="19"/>
  <c r="P67" i="19"/>
  <c r="P45" i="19"/>
  <c r="P39" i="19" l="1"/>
  <c r="E8" i="22" s="1"/>
  <c r="Q37" i="19"/>
  <c r="P42" i="19"/>
  <c r="F44" i="23"/>
  <c r="I19" i="24"/>
  <c r="I8" i="20" l="1"/>
  <c r="F8" i="23" s="1"/>
  <c r="F13" i="23" s="1"/>
  <c r="F26" i="23" s="1"/>
  <c r="I81" i="13"/>
  <c r="I36" i="20"/>
  <c r="P78" i="18"/>
  <c r="A78" i="18" s="1"/>
  <c r="E28" i="22"/>
  <c r="E62" i="22"/>
  <c r="E64" i="22" s="1"/>
  <c r="E65" i="22" s="1"/>
  <c r="A53" i="1"/>
  <c r="I53" i="1"/>
  <c r="I13" i="20" l="1"/>
  <c r="I26" i="20" s="1"/>
  <c r="I20" i="24" s="1"/>
  <c r="E69" i="21"/>
  <c r="E31" i="22"/>
  <c r="E33" i="22" s="1"/>
  <c r="F36" i="23"/>
  <c r="F37" i="23" s="1"/>
  <c r="F46" i="23" s="1"/>
  <c r="F49" i="23" s="1"/>
  <c r="I37" i="20"/>
  <c r="I27" i="24" l="1"/>
  <c r="Z88" i="27"/>
  <c r="Z89" i="27" s="1"/>
  <c r="E35" i="22"/>
  <c r="E80" i="21"/>
  <c r="E81" i="21" s="1"/>
  <c r="I46" i="20"/>
  <c r="I49" i="20" s="1"/>
  <c r="I12" i="24"/>
  <c r="I9" i="24"/>
  <c r="I8" i="24"/>
  <c r="I11" i="24"/>
  <c r="E66" i="22"/>
  <c r="E37" i="22" l="1"/>
  <c r="E67" i="22"/>
  <c r="E45" i="22"/>
  <c r="E73" i="21"/>
  <c r="E39" i="22" l="1"/>
  <c r="F8" i="22" s="1"/>
  <c r="E74" i="21"/>
  <c r="E76" i="21" s="1"/>
  <c r="E42" i="22"/>
  <c r="F62" i="22" l="1"/>
  <c r="F28" i="22"/>
  <c r="E78" i="21"/>
  <c r="F69" i="21" l="1"/>
  <c r="F31" i="22"/>
  <c r="F33" i="22" s="1"/>
  <c r="F64" i="22" s="1"/>
  <c r="F65" i="22" s="1"/>
  <c r="AA88" i="27" l="1"/>
  <c r="AA89" i="27" s="1"/>
  <c r="F35" i="22"/>
  <c r="F80" i="21"/>
  <c r="F81" i="21" s="1"/>
  <c r="F66" i="22"/>
  <c r="F37" i="22" l="1"/>
  <c r="F67" i="22"/>
  <c r="F45" i="22"/>
  <c r="F73" i="21"/>
  <c r="F39" i="22" l="1"/>
  <c r="G8" i="22" s="1"/>
  <c r="F74" i="21"/>
  <c r="F76" i="21" s="1"/>
  <c r="F42" i="22"/>
  <c r="G28" i="22" l="1"/>
  <c r="F78" i="21"/>
  <c r="G62" i="22"/>
  <c r="G69" i="21" l="1"/>
  <c r="G80" i="21" l="1"/>
  <c r="G81" i="21" s="1"/>
  <c r="G73" i="21" l="1"/>
  <c r="G25" i="22" l="1"/>
  <c r="G74" i="21"/>
  <c r="G76" i="21" s="1"/>
  <c r="G31" i="22" l="1"/>
  <c r="G33" i="22" s="1"/>
  <c r="G64" i="22" s="1"/>
  <c r="G65" i="22" s="1"/>
  <c r="AB88" i="27" l="1"/>
  <c r="AB89" i="27" s="1"/>
  <c r="G35" i="22"/>
  <c r="G66" i="22"/>
  <c r="G37" i="22" l="1"/>
  <c r="G67" i="22"/>
  <c r="G45" i="22"/>
  <c r="G42" i="22" l="1"/>
  <c r="G39" i="22"/>
  <c r="H8" i="22" s="1"/>
  <c r="G78" i="21" l="1"/>
  <c r="H62" i="22"/>
  <c r="H28" i="22"/>
  <c r="H69" i="21" l="1"/>
  <c r="H31" i="22"/>
  <c r="H33" i="22" s="1"/>
  <c r="H64" i="22" s="1"/>
  <c r="H65" i="22" s="1"/>
  <c r="AC88" i="27" l="1"/>
  <c r="AC89" i="27" s="1"/>
  <c r="H35" i="22"/>
  <c r="H80" i="21"/>
  <c r="H81" i="21" s="1"/>
  <c r="H66" i="22"/>
  <c r="H37" i="22" l="1"/>
  <c r="H67" i="22"/>
  <c r="H45" i="22"/>
  <c r="H73" i="21"/>
  <c r="H42" i="22" l="1"/>
  <c r="H74" i="21"/>
  <c r="H76" i="21" s="1"/>
  <c r="H39" i="22"/>
  <c r="I8" i="22" s="1"/>
  <c r="I62" i="22" l="1"/>
  <c r="H78" i="21"/>
  <c r="I28" i="22"/>
  <c r="I69" i="21" l="1"/>
  <c r="I31" i="22"/>
  <c r="I33" i="22" s="1"/>
  <c r="I64" i="22" s="1"/>
  <c r="I65" i="22" s="1"/>
  <c r="I80" i="21" l="1"/>
  <c r="I81" i="21" s="1"/>
  <c r="AD88" i="27"/>
  <c r="AD89" i="27" s="1"/>
  <c r="I35" i="22"/>
  <c r="I66" i="22"/>
  <c r="I67" i="22" l="1"/>
  <c r="I45" i="22"/>
  <c r="I73" i="21"/>
  <c r="I37" i="22"/>
  <c r="I42" i="22" l="1"/>
  <c r="I74" i="21"/>
  <c r="I76" i="21" s="1"/>
  <c r="I39" i="22"/>
  <c r="J8" i="22" s="1"/>
  <c r="I78" i="21" l="1"/>
  <c r="J62" i="22"/>
  <c r="J28" i="22"/>
  <c r="J69" i="21" s="1"/>
  <c r="J80" i="21" l="1"/>
  <c r="J81" i="21" s="1"/>
  <c r="J73" i="21" l="1"/>
  <c r="J25" i="22" l="1"/>
  <c r="J74" i="21"/>
  <c r="J76" i="21" s="1"/>
  <c r="J31" i="22" l="1"/>
  <c r="J33" i="22" s="1"/>
  <c r="J64" i="22" s="1"/>
  <c r="J65" i="22" s="1"/>
  <c r="AE88" i="27" l="1"/>
  <c r="AE89" i="27" s="1"/>
  <c r="J35" i="22"/>
  <c r="J66" i="22"/>
  <c r="J67" i="22" l="1"/>
  <c r="J45" i="22"/>
  <c r="J37" i="22"/>
  <c r="J42" i="22" l="1"/>
  <c r="J78" i="21" s="1"/>
  <c r="J39" i="22"/>
  <c r="K8" i="22" s="1"/>
  <c r="K62" i="22" l="1"/>
  <c r="K28" i="22"/>
  <c r="K69" i="21" s="1"/>
  <c r="K31" i="22" l="1"/>
  <c r="K33" i="22" s="1"/>
  <c r="AF88" i="27" s="1"/>
  <c r="AF89" i="27" s="1"/>
  <c r="K80" i="21"/>
  <c r="K81" i="21" s="1"/>
  <c r="K64" i="22" l="1"/>
  <c r="K65" i="22" s="1"/>
  <c r="K66" i="22" s="1"/>
  <c r="K67" i="22" s="1"/>
  <c r="K35" i="22"/>
  <c r="K37" i="22" s="1"/>
  <c r="K73" i="21"/>
  <c r="K45" i="22" l="1"/>
  <c r="K42" i="22" s="1"/>
  <c r="K39" i="22"/>
  <c r="L8" i="22" s="1"/>
  <c r="K74" i="21"/>
  <c r="K76" i="21" s="1"/>
  <c r="L62" i="22" l="1"/>
  <c r="L28" i="22"/>
  <c r="K78" i="21"/>
  <c r="L69" i="21" l="1"/>
  <c r="L31" i="22"/>
  <c r="L33" i="22" s="1"/>
  <c r="L64" i="22" s="1"/>
  <c r="L65" i="22" s="1"/>
  <c r="AG88" i="27" l="1"/>
  <c r="AG89" i="27" s="1"/>
  <c r="L35" i="22"/>
  <c r="L66" i="22"/>
  <c r="L80" i="21"/>
  <c r="L81" i="21" s="1"/>
  <c r="L67" i="22" l="1"/>
  <c r="L45" i="22"/>
  <c r="L37" i="22"/>
  <c r="L73" i="21"/>
  <c r="L42" i="22" l="1"/>
  <c r="M62" i="22" s="1"/>
  <c r="L39" i="22"/>
  <c r="M8" i="22" s="1"/>
  <c r="L74" i="21"/>
  <c r="L76" i="21" s="1"/>
  <c r="L78" i="21" l="1"/>
  <c r="M28" i="22"/>
  <c r="M69" i="21" s="1"/>
  <c r="M80" i="21" s="1"/>
  <c r="M81" i="21" s="1"/>
  <c r="M73" i="21" l="1"/>
  <c r="M25" i="22" l="1"/>
  <c r="M74" i="21"/>
  <c r="M76" i="21" s="1"/>
  <c r="M31" i="22" l="1"/>
  <c r="M33" i="22" s="1"/>
  <c r="M64" i="22" s="1"/>
  <c r="M65" i="22" s="1"/>
  <c r="AH88" i="27" l="1"/>
  <c r="AH89" i="27" s="1"/>
  <c r="M66" i="22"/>
  <c r="M35" i="22"/>
  <c r="M37" i="22" l="1"/>
  <c r="M67" i="22"/>
  <c r="M45" i="22"/>
  <c r="M42" i="22" l="1"/>
  <c r="M39" i="22"/>
  <c r="N8" i="22" s="1"/>
  <c r="N62" i="22" l="1"/>
  <c r="M78" i="21"/>
  <c r="N28" i="22"/>
  <c r="N69" i="21" l="1"/>
  <c r="N31" i="22"/>
  <c r="N33" i="22" s="1"/>
  <c r="N64" i="22" s="1"/>
  <c r="N65" i="22" s="1"/>
  <c r="AI88" i="27" l="1"/>
  <c r="AI89" i="27" s="1"/>
  <c r="N35" i="22"/>
  <c r="N80" i="21"/>
  <c r="N81" i="21" s="1"/>
  <c r="N66" i="22"/>
  <c r="N73" i="21" l="1"/>
  <c r="N37" i="22"/>
  <c r="N67" i="22"/>
  <c r="N45" i="22"/>
  <c r="N42" i="22" l="1"/>
  <c r="N78" i="21" s="1"/>
  <c r="N39" i="22"/>
  <c r="O8" i="22" s="1"/>
  <c r="N74" i="21"/>
  <c r="N76" i="21" s="1"/>
  <c r="O62" i="22" l="1"/>
  <c r="O28" i="22"/>
  <c r="O69" i="21" s="1"/>
  <c r="O31" i="22" l="1"/>
  <c r="O33" i="22" s="1"/>
  <c r="AJ88" i="27" s="1"/>
  <c r="AJ89" i="27" s="1"/>
  <c r="O80" i="21"/>
  <c r="O81" i="21" s="1"/>
  <c r="O64" i="22" l="1"/>
  <c r="O65" i="22" s="1"/>
  <c r="O66" i="22" s="1"/>
  <c r="O67" i="22" s="1"/>
  <c r="O35" i="22"/>
  <c r="O37" i="22" s="1"/>
  <c r="O73" i="21"/>
  <c r="O45" i="22" l="1"/>
  <c r="O42" i="22" s="1"/>
  <c r="O39" i="22"/>
  <c r="P8" i="22" s="1"/>
  <c r="O74" i="21"/>
  <c r="O76" i="21" s="1"/>
  <c r="O78" i="21" l="1"/>
  <c r="P62" i="22"/>
  <c r="P28" i="22"/>
  <c r="Q28" i="22" s="1"/>
  <c r="P69" i="21" l="1"/>
  <c r="P80" i="21" s="1"/>
  <c r="P81" i="21" s="1"/>
  <c r="P73" i="21" s="1"/>
  <c r="Q69" i="21" l="1"/>
  <c r="K38" i="7" s="1"/>
  <c r="K42" i="7" s="1"/>
  <c r="K44" i="7" s="1"/>
  <c r="Q73" i="21"/>
  <c r="L76" i="13" s="1"/>
  <c r="P25" i="22"/>
  <c r="P74" i="21"/>
  <c r="P76" i="21" s="1"/>
  <c r="L72" i="13" l="1"/>
  <c r="L77" i="13" s="1"/>
  <c r="M77" i="13" s="1"/>
  <c r="Q74" i="21"/>
  <c r="Q76" i="21" s="1"/>
  <c r="K18" i="24" s="1"/>
  <c r="P31" i="22"/>
  <c r="P33" i="22" s="1"/>
  <c r="P64" i="22" s="1"/>
  <c r="P65" i="22" s="1"/>
  <c r="Q25" i="22"/>
  <c r="Q31" i="22" s="1"/>
  <c r="L79" i="13" l="1"/>
  <c r="M79" i="13" s="1"/>
  <c r="I42" i="23"/>
  <c r="I44" i="23" s="1"/>
  <c r="K19" i="24" s="1"/>
  <c r="AK88" i="27"/>
  <c r="AK89" i="27" s="1"/>
  <c r="Q33" i="22"/>
  <c r="P35" i="22"/>
  <c r="P66" i="22"/>
  <c r="P67" i="22" l="1"/>
  <c r="P45" i="22"/>
  <c r="P37" i="22"/>
  <c r="Q37" i="22" l="1"/>
  <c r="P42" i="22"/>
  <c r="P39" i="22"/>
  <c r="I8" i="23" s="1"/>
  <c r="I13" i="23" s="1"/>
  <c r="I26" i="23" s="1"/>
  <c r="P78" i="21" l="1"/>
  <c r="A78" i="21" s="1"/>
  <c r="L81" i="13"/>
  <c r="A81" i="13" s="1"/>
  <c r="I36" i="23"/>
  <c r="I37" i="23" s="1"/>
  <c r="A54" i="1"/>
  <c r="I54" i="1"/>
  <c r="K20" i="24"/>
  <c r="K27" i="24"/>
  <c r="K12" i="24" l="1"/>
  <c r="I46" i="23"/>
  <c r="I49" i="23" s="1"/>
  <c r="K8" i="24"/>
  <c r="K9" i="24"/>
  <c r="K11"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E8" authorId="0" shapeId="0" xr:uid="{00000000-0006-0000-0100-000001000000}">
      <text>
        <r>
          <rPr>
            <b/>
            <sz val="9"/>
            <color indexed="81"/>
            <rFont val="Tahoma"/>
            <family val="2"/>
          </rPr>
          <t>Admin:</t>
        </r>
        <r>
          <rPr>
            <sz val="9"/>
            <color indexed="81"/>
            <rFont val="Tahoma"/>
            <family val="2"/>
          </rPr>
          <t xml:space="preserve">
If you have purchased real estate enter the land cost portion</t>
        </r>
      </text>
    </comment>
    <comment ref="E9" authorId="0" shapeId="0" xr:uid="{00000000-0006-0000-0100-000002000000}">
      <text>
        <r>
          <rPr>
            <b/>
            <sz val="9"/>
            <color indexed="81"/>
            <rFont val="Tahoma"/>
            <family val="2"/>
          </rPr>
          <t>Admin:</t>
        </r>
        <r>
          <rPr>
            <sz val="9"/>
            <color indexed="81"/>
            <rFont val="Tahoma"/>
            <family val="2"/>
          </rPr>
          <t xml:space="preserve">
The building cost portion of any real estate purchased</t>
        </r>
      </text>
    </comment>
    <comment ref="E10" authorId="0" shapeId="0" xr:uid="{48BA44E7-538F-4499-A109-5740ECAB9476}">
      <text>
        <r>
          <rPr>
            <b/>
            <sz val="9"/>
            <color indexed="81"/>
            <rFont val="Tahoma"/>
            <family val="2"/>
          </rPr>
          <t>Admin:</t>
        </r>
        <r>
          <rPr>
            <sz val="9"/>
            <color indexed="81"/>
            <rFont val="Tahoma"/>
            <family val="2"/>
          </rPr>
          <t xml:space="preserve">
If you are leasing, any costs of building improvements (painting, electrical, etc) go here and make sure you make the depreciation term mirror that of your lease</t>
        </r>
      </text>
    </comment>
    <comment ref="J10" authorId="0" shapeId="0" xr:uid="{00000000-0006-0000-0100-000004000000}">
      <text>
        <r>
          <rPr>
            <b/>
            <sz val="9"/>
            <color indexed="81"/>
            <rFont val="Tahoma"/>
            <family val="2"/>
          </rPr>
          <t>Admin:</t>
        </r>
        <r>
          <rPr>
            <sz val="9"/>
            <color indexed="81"/>
            <rFont val="Tahoma"/>
            <family val="2"/>
          </rPr>
          <t xml:space="preserve">
This should be the term of your lease</t>
        </r>
      </text>
    </comment>
    <comment ref="E11" authorId="0" shapeId="0" xr:uid="{F6EFB0BF-4159-4A90-890C-C5BC2579AABF}">
      <text>
        <r>
          <rPr>
            <b/>
            <sz val="9"/>
            <color indexed="81"/>
            <rFont val="Tahoma"/>
            <family val="2"/>
          </rPr>
          <t>Admin:</t>
        </r>
        <r>
          <rPr>
            <sz val="9"/>
            <color indexed="81"/>
            <rFont val="Tahoma"/>
            <family val="2"/>
          </rPr>
          <t xml:space="preserve">
the cost of any equipment purchased prior to opening goes here like computers, scanners, forklifts, manufacturing machines, etc</t>
        </r>
      </text>
    </comment>
    <comment ref="J11" authorId="0" shapeId="0" xr:uid="{00000000-0006-0000-0100-000006000000}">
      <text>
        <r>
          <rPr>
            <b/>
            <sz val="9"/>
            <color indexed="81"/>
            <rFont val="Tahoma"/>
            <family val="2"/>
          </rPr>
          <t>Admin:</t>
        </r>
        <r>
          <rPr>
            <sz val="9"/>
            <color indexed="81"/>
            <rFont val="Tahoma"/>
            <family val="2"/>
          </rPr>
          <t xml:space="preserve">
The average life of the equipment goes here</t>
        </r>
      </text>
    </comment>
    <comment ref="E12" authorId="0" shapeId="0" xr:uid="{4C1312F3-B81B-4B0B-89DE-09E97AB7A519}">
      <text>
        <r>
          <rPr>
            <b/>
            <sz val="9"/>
            <color indexed="81"/>
            <rFont val="Tahoma"/>
            <family val="2"/>
          </rPr>
          <t>Admin:</t>
        </r>
        <r>
          <rPr>
            <sz val="9"/>
            <color indexed="81"/>
            <rFont val="Tahoma"/>
            <family val="2"/>
          </rPr>
          <t xml:space="preserve">
The cost of any furniture or fixtures goes here</t>
        </r>
      </text>
    </comment>
    <comment ref="J12" authorId="0" shapeId="0" xr:uid="{00000000-0006-0000-0100-000008000000}">
      <text>
        <r>
          <rPr>
            <b/>
            <sz val="9"/>
            <color indexed="81"/>
            <rFont val="Tahoma"/>
            <family val="2"/>
          </rPr>
          <t>Admin:</t>
        </r>
        <r>
          <rPr>
            <sz val="9"/>
            <color indexed="81"/>
            <rFont val="Tahoma"/>
            <family val="2"/>
          </rPr>
          <t xml:space="preserve">
Furniture/fixtures ususally have a 5 year life but put in the expected life here</t>
        </r>
      </text>
    </comment>
    <comment ref="E13" authorId="0" shapeId="0" xr:uid="{C62C715C-6E7E-4B85-925C-37A21F5D5520}">
      <text>
        <r>
          <rPr>
            <b/>
            <sz val="9"/>
            <color indexed="81"/>
            <rFont val="Tahoma"/>
            <family val="2"/>
          </rPr>
          <t>Admin:</t>
        </r>
        <r>
          <rPr>
            <sz val="9"/>
            <color indexed="81"/>
            <rFont val="Tahoma"/>
            <family val="2"/>
          </rPr>
          <t xml:space="preserve">
The cost of any purchased vehicles goes here</t>
        </r>
      </text>
    </comment>
    <comment ref="E14" authorId="0" shapeId="0" xr:uid="{08919378-0929-4293-A017-D0D5C9F4A9ED}">
      <text>
        <r>
          <rPr>
            <b/>
            <sz val="9"/>
            <color indexed="81"/>
            <rFont val="Tahoma"/>
            <family val="2"/>
          </rPr>
          <t>Admin:</t>
        </r>
        <r>
          <rPr>
            <sz val="9"/>
            <color indexed="81"/>
            <rFont val="Tahoma"/>
            <family val="2"/>
          </rPr>
          <t xml:space="preserve">
Any other assets purchased (like software) goes here</t>
        </r>
      </text>
    </comment>
    <comment ref="I32" authorId="0" shapeId="0" xr:uid="{00000000-0006-0000-0100-00000B000000}">
      <text>
        <r>
          <rPr>
            <b/>
            <sz val="9"/>
            <color indexed="81"/>
            <rFont val="Tahoma"/>
            <family val="2"/>
          </rPr>
          <t>Admin:</t>
        </r>
        <r>
          <rPr>
            <sz val="9"/>
            <color indexed="81"/>
            <rFont val="Tahoma"/>
            <family val="2"/>
          </rPr>
          <t xml:space="preserve">
If less than 100% of excess cash flow generated monthly is desired to pay down the line of credit then put a % amount here</t>
        </r>
      </text>
    </comment>
    <comment ref="I34" authorId="0" shapeId="0" xr:uid="{00000000-0006-0000-0100-00000C000000}">
      <text>
        <r>
          <rPr>
            <b/>
            <sz val="9"/>
            <color indexed="81"/>
            <rFont val="Tahoma"/>
            <family val="2"/>
          </rPr>
          <t>Admin:</t>
        </r>
        <r>
          <rPr>
            <sz val="9"/>
            <color indexed="81"/>
            <rFont val="Tahoma"/>
            <family val="2"/>
          </rPr>
          <t xml:space="preserve">
If you would like to maintain a minumum cash amount in the bank, put it here</t>
        </r>
      </text>
    </comment>
    <comment ref="I35" authorId="0" shapeId="0" xr:uid="{00000000-0006-0000-0100-00000D000000}">
      <text>
        <r>
          <rPr>
            <b/>
            <sz val="9"/>
            <color indexed="81"/>
            <rFont val="Tahoma"/>
            <family val="2"/>
          </rPr>
          <t>Admin:</t>
        </r>
        <r>
          <rPr>
            <sz val="9"/>
            <color indexed="81"/>
            <rFont val="Tahoma"/>
            <family val="2"/>
          </rPr>
          <t xml:space="preserve">
If you would like to maintain a minumum inventory level in year 1, put it here</t>
        </r>
      </text>
    </comment>
    <comment ref="I36" authorId="0" shapeId="0" xr:uid="{00000000-0006-0000-0100-00000E000000}">
      <text>
        <r>
          <rPr>
            <b/>
            <sz val="9"/>
            <color indexed="81"/>
            <rFont val="Tahoma"/>
            <family val="2"/>
          </rPr>
          <t>Admin:</t>
        </r>
        <r>
          <rPr>
            <sz val="9"/>
            <color indexed="81"/>
            <rFont val="Tahoma"/>
            <family val="2"/>
          </rPr>
          <t xml:space="preserve">
If you would like to maintain a minumum inventory level in year 2, put it here</t>
        </r>
      </text>
    </comment>
    <comment ref="I37" authorId="0" shapeId="0" xr:uid="{00000000-0006-0000-0100-00000F000000}">
      <text>
        <r>
          <rPr>
            <b/>
            <sz val="9"/>
            <color indexed="81"/>
            <rFont val="Tahoma"/>
            <family val="2"/>
          </rPr>
          <t>Admin:</t>
        </r>
        <r>
          <rPr>
            <sz val="9"/>
            <color indexed="81"/>
            <rFont val="Tahoma"/>
            <family val="2"/>
          </rPr>
          <t xml:space="preserve">
If you would like to maintain a minumum inventory level in year 3, put it here</t>
        </r>
      </text>
    </comment>
    <comment ref="I41" authorId="0" shapeId="0" xr:uid="{00000000-0006-0000-0100-000010000000}">
      <text>
        <r>
          <rPr>
            <b/>
            <sz val="9"/>
            <color indexed="81"/>
            <rFont val="Tahoma"/>
            <family val="2"/>
          </rPr>
          <t xml:space="preserve">Admin: 
</t>
        </r>
        <r>
          <rPr>
            <sz val="9"/>
            <color indexed="81"/>
            <rFont val="Tahoma"/>
            <family val="2"/>
          </rPr>
          <t>This the amount that the owners of the business are investing at the start</t>
        </r>
      </text>
    </comment>
    <comment ref="I42" authorId="0" shapeId="0" xr:uid="{00000000-0006-0000-0100-000011000000}">
      <text>
        <r>
          <rPr>
            <b/>
            <sz val="9"/>
            <color indexed="81"/>
            <rFont val="Tahoma"/>
            <family val="2"/>
          </rPr>
          <t>Admin:</t>
        </r>
        <r>
          <rPr>
            <sz val="9"/>
            <color indexed="81"/>
            <rFont val="Tahoma"/>
            <family val="2"/>
          </rPr>
          <t xml:space="preserve">
If there are any outside investors, put the amount that they invest here</t>
        </r>
      </text>
    </comment>
    <comment ref="I44" authorId="0" shapeId="0" xr:uid="{00000000-0006-0000-0100-000012000000}">
      <text>
        <r>
          <rPr>
            <b/>
            <sz val="9"/>
            <color indexed="81"/>
            <rFont val="Tahoma"/>
            <family val="2"/>
          </rPr>
          <t>Admin:</t>
        </r>
        <r>
          <rPr>
            <sz val="9"/>
            <color indexed="81"/>
            <rFont val="Tahoma"/>
            <family val="2"/>
          </rPr>
          <t xml:space="preserve">
Enter any additional
 debt here and change the loan rate and term in months to reflect its actual rate and term and the year in which principle payments start.
</t>
        </r>
      </text>
    </comment>
    <comment ref="M44" authorId="0" shapeId="0" xr:uid="{00000000-0006-0000-0100-000013000000}">
      <text>
        <r>
          <rPr>
            <b/>
            <sz val="9"/>
            <color indexed="81"/>
            <rFont val="Tahoma"/>
            <family val="2"/>
          </rPr>
          <t>Admin:</t>
        </r>
        <r>
          <rPr>
            <sz val="9"/>
            <color indexed="81"/>
            <rFont val="Tahoma"/>
            <family val="2"/>
          </rPr>
          <t xml:space="preserve">
Enter the year in which interest and principle payments start
</t>
        </r>
      </text>
    </comment>
    <comment ref="I45" authorId="0" shapeId="0" xr:uid="{00000000-0006-0000-0100-000014000000}">
      <text>
        <r>
          <rPr>
            <b/>
            <sz val="9"/>
            <color indexed="81"/>
            <rFont val="Tahoma"/>
            <family val="2"/>
          </rPr>
          <t>Admin:</t>
        </r>
        <r>
          <rPr>
            <sz val="9"/>
            <color indexed="81"/>
            <rFont val="Tahoma"/>
            <family val="2"/>
          </rPr>
          <t xml:space="preserve">
This is a calculated amount of the loan you will need to start the business if the Owners Equity and Outside Investors do not put enough in to start</t>
        </r>
      </text>
    </comment>
    <comment ref="I46" authorId="0" shapeId="0" xr:uid="{00000000-0006-0000-0100-000015000000}">
      <text>
        <r>
          <rPr>
            <b/>
            <sz val="9"/>
            <color indexed="81"/>
            <rFont val="Tahoma"/>
            <family val="2"/>
          </rPr>
          <t>Admin:</t>
        </r>
        <r>
          <rPr>
            <sz val="9"/>
            <color indexed="81"/>
            <rFont val="Tahoma"/>
            <family val="2"/>
          </rPr>
          <t xml:space="preserve">
This field represents an 80% loan for the real estate and land total</t>
        </r>
      </text>
    </comment>
    <comment ref="I47" authorId="0" shapeId="0" xr:uid="{00000000-0006-0000-0100-000016000000}">
      <text>
        <r>
          <rPr>
            <b/>
            <sz val="9"/>
            <color indexed="81"/>
            <rFont val="Tahoma"/>
            <family val="2"/>
          </rPr>
          <t>Admin:</t>
        </r>
        <r>
          <rPr>
            <sz val="9"/>
            <color indexed="81"/>
            <rFont val="Tahoma"/>
            <family val="2"/>
          </rPr>
          <t xml:space="preserve">
Enter any business related credit card debt here and change the rate to that of the debt</t>
        </r>
      </text>
    </comment>
    <comment ref="I48" authorId="0" shapeId="0" xr:uid="{00000000-0006-0000-0100-000017000000}">
      <text>
        <r>
          <rPr>
            <b/>
            <sz val="9"/>
            <color indexed="81"/>
            <rFont val="Tahoma"/>
            <family val="2"/>
          </rPr>
          <t>Admin:</t>
        </r>
        <r>
          <rPr>
            <sz val="9"/>
            <color indexed="81"/>
            <rFont val="Tahoma"/>
            <family val="2"/>
          </rPr>
          <t xml:space="preserve">
If a vehicle is purchased, this represents 80% financing</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E64" authorId="0" shapeId="0" xr:uid="{00000000-0006-0000-1200-000001000000}">
      <text>
        <r>
          <rPr>
            <b/>
            <sz val="9"/>
            <color indexed="81"/>
            <rFont val="Tahoma"/>
            <family val="2"/>
          </rPr>
          <t>Admin:</t>
        </r>
        <r>
          <rPr>
            <sz val="9"/>
            <color indexed="81"/>
            <rFont val="Tahoma"/>
            <family val="2"/>
          </rPr>
          <t xml:space="preserve">
first step if monthly cash flow is positive and there is amount owed on line, then we go farther</t>
        </r>
      </text>
    </comment>
    <comment ref="E65" authorId="0" shapeId="0" xr:uid="{00000000-0006-0000-1200-000002000000}">
      <text>
        <r>
          <rPr>
            <b/>
            <sz val="9"/>
            <color indexed="81"/>
            <rFont val="Tahoma"/>
            <family val="2"/>
          </rPr>
          <t>Admin:</t>
        </r>
        <r>
          <rPr>
            <sz val="9"/>
            <color indexed="81"/>
            <rFont val="Tahoma"/>
            <family val="2"/>
          </rPr>
          <t xml:space="preserve">
checks to see if mincash threshold is required, if so then subtracts mincash from operating cash</t>
        </r>
      </text>
    </comment>
    <comment ref="E66" authorId="0" shapeId="0" xr:uid="{00000000-0006-0000-1200-000003000000}">
      <text>
        <r>
          <rPr>
            <b/>
            <sz val="9"/>
            <color indexed="81"/>
            <rFont val="Tahoma"/>
            <family val="2"/>
          </rPr>
          <t>Admin:</t>
        </r>
        <r>
          <rPr>
            <sz val="9"/>
            <color indexed="81"/>
            <rFont val="Tahoma"/>
            <family val="2"/>
          </rPr>
          <t xml:space="preserve">
If the minumum reduction % is set to "0", then no reduction is calculated</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Jack Hess</author>
  </authors>
  <commentList>
    <comment ref="G8" authorId="0" shapeId="0" xr:uid="{00000000-0006-0000-1400-000001000000}">
      <text>
        <r>
          <rPr>
            <b/>
            <sz val="8"/>
            <color indexed="81"/>
            <rFont val="Tahoma"/>
            <family val="2"/>
          </rPr>
          <t>An indication of a company's ability to meet short-term debt obligations.</t>
        </r>
      </text>
    </comment>
    <comment ref="G9" authorId="0" shapeId="0" xr:uid="{00000000-0006-0000-1400-000002000000}">
      <text>
        <r>
          <rPr>
            <b/>
            <sz val="8"/>
            <color indexed="81"/>
            <rFont val="Tahoma"/>
            <family val="2"/>
          </rPr>
          <t>The ratio between all assets quickly convertible into cash and current liabilities. Measures a company's liquidity. Also called acid-test ratio.</t>
        </r>
      </text>
    </comment>
    <comment ref="G11" authorId="0" shapeId="0" xr:uid="{00000000-0006-0000-1400-000003000000}">
      <text>
        <r>
          <rPr>
            <b/>
            <sz val="8"/>
            <color indexed="81"/>
            <rFont val="Tahoma"/>
            <family val="2"/>
          </rPr>
          <t>This ratio expresses the relationship between capital contributed by creditors and that contributed by owners.</t>
        </r>
      </text>
    </comment>
    <comment ref="G12" authorId="0" shapeId="0" xr:uid="{00000000-0006-0000-1400-000004000000}">
      <text>
        <r>
          <rPr>
            <b/>
            <sz val="8"/>
            <color indexed="81"/>
            <rFont val="Tahoma"/>
            <family val="2"/>
          </rPr>
          <t>This ratio indicates how well your cash flow covers debt and the capability of the business to take on additional debt.</t>
        </r>
      </text>
    </comment>
    <comment ref="G14" authorId="0" shapeId="0" xr:uid="{00000000-0006-0000-1400-000005000000}">
      <text>
        <r>
          <rPr>
            <b/>
            <sz val="8"/>
            <color indexed="81"/>
            <rFont val="Tahoma"/>
            <family val="2"/>
          </rPr>
          <t>This ratio calculates the percentage of increase (or decrease) in sales between the current year and the previous year.</t>
        </r>
      </text>
    </comment>
    <comment ref="G15" authorId="0" shapeId="0" xr:uid="{00000000-0006-0000-1400-000006000000}">
      <text>
        <r>
          <rPr>
            <b/>
            <sz val="8"/>
            <color indexed="81"/>
            <rFont val="Tahoma"/>
            <family val="2"/>
          </rPr>
          <t>The percentage of sales used to pay for the COGS (expenses which directly vary with sales) is expressed in this ratio.</t>
        </r>
      </text>
    </comment>
    <comment ref="G16" authorId="0" shapeId="0" xr:uid="{00000000-0006-0000-1400-000007000000}">
      <text>
        <r>
          <rPr>
            <b/>
            <sz val="8"/>
            <color indexed="81"/>
            <rFont val="Tahoma"/>
            <family val="2"/>
          </rPr>
          <t>This ratio indicates how much profit is earned on your products without consideration of indirect costs, selling and administration costs.</t>
        </r>
      </text>
    </comment>
    <comment ref="G17" authorId="0" shapeId="0" xr:uid="{00000000-0006-0000-1400-000008000000}">
      <text>
        <r>
          <rPr>
            <b/>
            <sz val="8"/>
            <color indexed="81"/>
            <rFont val="Tahoma"/>
            <family val="2"/>
          </rPr>
          <t>This ratio measures the percentage of selling, general and administrative costs to your amount of sales.</t>
        </r>
      </text>
    </comment>
    <comment ref="G18" authorId="0" shapeId="0" xr:uid="{00000000-0006-0000-1400-000009000000}">
      <text>
        <r>
          <rPr>
            <b/>
            <sz val="8"/>
            <color indexed="81"/>
            <rFont val="Tahoma"/>
            <family val="2"/>
          </rPr>
          <t>Net profit margin shows how much profit comes from every dollar of sales.</t>
        </r>
      </text>
    </comment>
    <comment ref="G19" authorId="0" shapeId="0" xr:uid="{00000000-0006-0000-1400-00000A000000}">
      <text>
        <r>
          <rPr>
            <b/>
            <sz val="8"/>
            <color indexed="81"/>
            <rFont val="Tahoma"/>
            <family val="2"/>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G20" authorId="0" shapeId="0" xr:uid="{00000000-0006-0000-1400-00000B000000}">
      <text>
        <r>
          <rPr>
            <b/>
            <sz val="8"/>
            <color indexed="81"/>
            <rFont val="Tahoma"/>
            <family val="2"/>
          </rPr>
          <t>This ratio measures how effectively assets are used to generate a return.</t>
        </r>
      </text>
    </comment>
    <comment ref="G21" authorId="0" shapeId="0" xr:uid="{00000000-0006-0000-1400-00000C000000}">
      <text>
        <r>
          <rPr>
            <b/>
            <sz val="8"/>
            <color indexed="81"/>
            <rFont val="Tahoma"/>
            <family val="2"/>
          </rPr>
          <t>This ratio measures the owner's compensation as a percentage of sales.</t>
        </r>
      </text>
    </comment>
    <comment ref="G23" authorId="0" shapeId="0" xr:uid="{00000000-0006-0000-1400-00000D000000}">
      <text>
        <r>
          <rPr>
            <b/>
            <sz val="8"/>
            <color indexed="81"/>
            <rFont val="Tahoma"/>
            <family val="2"/>
          </rPr>
          <t>Days in receivable calculates the average number of days it takes to collect your account receivable (number of days of sales in receivables).</t>
        </r>
      </text>
    </comment>
    <comment ref="G24" authorId="0" shapeId="0" xr:uid="{00000000-0006-0000-1400-00000E000000}">
      <text>
        <r>
          <rPr>
            <b/>
            <sz val="8"/>
            <color indexed="81"/>
            <rFont val="Tahoma"/>
            <family val="2"/>
          </rPr>
          <t>This ratio tells you the number of times accounts receivable turnover during the year.</t>
        </r>
      </text>
    </comment>
    <comment ref="G25" authorId="0" shapeId="0" xr:uid="{00000000-0006-0000-1400-00000F000000}">
      <text>
        <r>
          <rPr>
            <b/>
            <sz val="8"/>
            <color indexed="81"/>
            <rFont val="Tahoma"/>
            <family val="2"/>
          </rPr>
          <t>This ratio shows the average number of days it will take to sell your inventory.</t>
        </r>
      </text>
    </comment>
    <comment ref="G26" authorId="0" shapeId="0" xr:uid="{00000000-0006-0000-1400-000010000000}">
      <text>
        <r>
          <rPr>
            <b/>
            <sz val="8"/>
            <color indexed="81"/>
            <rFont val="Tahoma"/>
            <family val="2"/>
          </rPr>
          <t>This ratio calculates the number of times inventory is turned over (or sold) during the year.</t>
        </r>
      </text>
    </comment>
    <comment ref="G27" authorId="0" shapeId="0" xr:uid="{00000000-0006-0000-1400-000011000000}">
      <text>
        <r>
          <rPr>
            <b/>
            <sz val="8"/>
            <color indexed="81"/>
            <rFont val="Tahoma"/>
            <family val="2"/>
          </rPr>
          <t>This ratio indicates how efficiently your business generates sales on every dollar of assets.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John Doyle</author>
  </authors>
  <commentList>
    <comment ref="F6" authorId="0" shapeId="0" xr:uid="{00000000-0006-0000-0200-000001000000}">
      <text>
        <r>
          <rPr>
            <b/>
            <sz val="9"/>
            <color indexed="81"/>
            <rFont val="Tahoma"/>
            <family val="2"/>
          </rPr>
          <t>Admin:</t>
        </r>
        <r>
          <rPr>
            <sz val="9"/>
            <color indexed="81"/>
            <rFont val="Tahoma"/>
            <family val="2"/>
          </rPr>
          <t xml:space="preserve">
Put the owners' total monthly salaries here</t>
        </r>
      </text>
    </comment>
    <comment ref="G6" authorId="1" shapeId="0" xr:uid="{00000000-0006-0000-0200-000002000000}">
      <text>
        <r>
          <rPr>
            <b/>
            <sz val="9"/>
            <color indexed="81"/>
            <rFont val="Tahoma"/>
            <family val="2"/>
          </rPr>
          <t>John Doyle:</t>
        </r>
        <r>
          <rPr>
            <sz val="9"/>
            <color indexed="81"/>
            <rFont val="Tahoma"/>
            <family val="2"/>
          </rPr>
          <t xml:space="preserve">
You can either input a new income level for the owner in the second year or just have the percentage change applied to the first year owners monthly income</t>
        </r>
      </text>
    </comment>
    <comment ref="H6" authorId="1" shapeId="0" xr:uid="{0CD526CB-CA22-490E-BBB2-41A027557F4E}">
      <text>
        <r>
          <rPr>
            <b/>
            <sz val="9"/>
            <color indexed="81"/>
            <rFont val="Tahoma"/>
            <family val="2"/>
          </rPr>
          <t>John Doyle:</t>
        </r>
        <r>
          <rPr>
            <sz val="9"/>
            <color indexed="81"/>
            <rFont val="Tahoma"/>
            <family val="2"/>
          </rPr>
          <t xml:space="preserve">
You can either input a new income level for the owner in the second year or just have the percentage change applied to the first year owners monthly income</t>
        </r>
      </text>
    </comment>
    <comment ref="F10" authorId="0" shapeId="0" xr:uid="{00000000-0006-0000-0200-000004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
 </t>
        </r>
      </text>
    </comment>
    <comment ref="G10" authorId="0" shapeId="0" xr:uid="{00000000-0006-0000-0200-000005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t>
        </r>
      </text>
    </comment>
    <comment ref="H10" authorId="0" shapeId="0" xr:uid="{00000000-0006-0000-0200-000006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t>
        </r>
      </text>
    </comment>
    <comment ref="F11" authorId="0" shapeId="0" xr:uid="{00000000-0006-0000-0200-000007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
 </t>
        </r>
      </text>
    </comment>
    <comment ref="G11" authorId="0" shapeId="0" xr:uid="{00000000-0006-0000-0200-000008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t>
        </r>
      </text>
    </comment>
    <comment ref="H11" authorId="0" shapeId="0" xr:uid="{00000000-0006-0000-0200-000009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t>
        </r>
      </text>
    </comment>
    <comment ref="F12" authorId="0" shapeId="0" xr:uid="{00000000-0006-0000-0200-00000A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
 </t>
        </r>
      </text>
    </comment>
    <comment ref="G12" authorId="0" shapeId="0" xr:uid="{00000000-0006-0000-0200-00000B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t>
        </r>
      </text>
    </comment>
    <comment ref="H12" authorId="0" shapeId="0" xr:uid="{00000000-0006-0000-0200-00000C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t>
        </r>
      </text>
    </comment>
    <comment ref="F13" authorId="0" shapeId="0" xr:uid="{00000000-0006-0000-0200-00000D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
 </t>
        </r>
      </text>
    </comment>
    <comment ref="G13" authorId="0" shapeId="0" xr:uid="{00000000-0006-0000-0200-00000E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t>
        </r>
      </text>
    </comment>
    <comment ref="H13" authorId="0" shapeId="0" xr:uid="{00000000-0006-0000-0200-00000F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t>
        </r>
      </text>
    </comment>
    <comment ref="F14" authorId="0" shapeId="0" xr:uid="{00000000-0006-0000-0200-000010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
 </t>
        </r>
      </text>
    </comment>
    <comment ref="G14" authorId="0" shapeId="0" xr:uid="{00000000-0006-0000-0200-000011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t>
        </r>
      </text>
    </comment>
    <comment ref="H14" authorId="0" shapeId="0" xr:uid="{00000000-0006-0000-0200-000012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t>
        </r>
      </text>
    </comment>
    <comment ref="F15" authorId="0" shapeId="0" xr:uid="{00000000-0006-0000-0200-000013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
 </t>
        </r>
      </text>
    </comment>
    <comment ref="G15" authorId="0" shapeId="0" xr:uid="{00000000-0006-0000-0200-000014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t>
        </r>
      </text>
    </comment>
    <comment ref="H15" authorId="0" shapeId="0" xr:uid="{00000000-0006-0000-0200-000015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t>
        </r>
      </text>
    </comment>
    <comment ref="F16" authorId="0" shapeId="0" xr:uid="{00000000-0006-0000-0200-000016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
 </t>
        </r>
      </text>
    </comment>
    <comment ref="G16" authorId="0" shapeId="0" xr:uid="{00000000-0006-0000-0200-000017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t>
        </r>
      </text>
    </comment>
    <comment ref="H16" authorId="0" shapeId="0" xr:uid="{00000000-0006-0000-0200-000018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t>
        </r>
      </text>
    </comment>
    <comment ref="F17" authorId="0" shapeId="0" xr:uid="{00000000-0006-0000-0200-000019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
 </t>
        </r>
      </text>
    </comment>
    <comment ref="G17" authorId="0" shapeId="0" xr:uid="{00000000-0006-0000-0200-00001A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t>
        </r>
      </text>
    </comment>
    <comment ref="H17" authorId="0" shapeId="0" xr:uid="{00000000-0006-0000-0200-00001B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t>
        </r>
      </text>
    </comment>
    <comment ref="F18" authorId="0" shapeId="0" xr:uid="{00000000-0006-0000-0200-00001C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
 </t>
        </r>
      </text>
    </comment>
    <comment ref="G18" authorId="0" shapeId="0" xr:uid="{00000000-0006-0000-0200-00001D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t>
        </r>
      </text>
    </comment>
    <comment ref="H18" authorId="0" shapeId="0" xr:uid="{00000000-0006-0000-0200-00001E000000}">
      <text>
        <r>
          <rPr>
            <b/>
            <sz val="9"/>
            <color indexed="81"/>
            <rFont val="Tahoma"/>
            <family val="2"/>
          </rPr>
          <t>Admin:</t>
        </r>
        <r>
          <rPr>
            <sz val="9"/>
            <color indexed="81"/>
            <rFont val="Tahoma"/>
            <family val="2"/>
          </rPr>
          <t xml:space="preserve">
If the result is "HOURLY", then enter this employee below under either hourly category.  A new mimimum weekly pay regulation ($913/wk) has been implemented to avoid overtime pay.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I25" authorId="0" shapeId="0" xr:uid="{00000000-0006-0000-0300-000001000000}">
      <text>
        <r>
          <rPr>
            <b/>
            <sz val="9"/>
            <color indexed="81"/>
            <rFont val="Tahoma"/>
            <family val="2"/>
          </rPr>
          <t>Admin:</t>
        </r>
        <r>
          <rPr>
            <sz val="9"/>
            <color indexed="81"/>
            <rFont val="Tahoma"/>
            <family val="2"/>
          </rPr>
          <t xml:space="preserve">
Represents the employer portion of Social Security premiums</t>
        </r>
      </text>
    </comment>
    <comment ref="I26" authorId="0" shapeId="0" xr:uid="{00000000-0006-0000-0300-000002000000}">
      <text>
        <r>
          <rPr>
            <b/>
            <sz val="9"/>
            <color indexed="81"/>
            <rFont val="Tahoma"/>
            <family val="2"/>
          </rPr>
          <t>Admin:</t>
        </r>
        <r>
          <rPr>
            <sz val="9"/>
            <color indexed="81"/>
            <rFont val="Tahoma"/>
            <family val="2"/>
          </rPr>
          <t xml:space="preserve">
Represents the employer portion of Medicare premiums</t>
        </r>
      </text>
    </comment>
    <comment ref="I29" authorId="0" shapeId="0" xr:uid="{00000000-0006-0000-0300-000003000000}">
      <text>
        <r>
          <rPr>
            <b/>
            <sz val="9"/>
            <color indexed="81"/>
            <rFont val="Tahoma"/>
            <family val="2"/>
          </rPr>
          <t>Admin:</t>
        </r>
        <r>
          <rPr>
            <sz val="9"/>
            <color indexed="81"/>
            <rFont val="Tahoma"/>
            <family val="2"/>
          </rPr>
          <t xml:space="preserve">
If you are acruing pension costs, put the % of wages here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J8" authorId="0" shapeId="0" xr:uid="{00000000-0006-0000-0400-000001000000}">
      <text>
        <r>
          <rPr>
            <b/>
            <sz val="9"/>
            <color indexed="81"/>
            <rFont val="Tahoma"/>
            <family val="2"/>
          </rPr>
          <t>Admin:</t>
        </r>
        <r>
          <rPr>
            <sz val="9"/>
            <color indexed="81"/>
            <rFont val="Tahoma"/>
            <family val="2"/>
          </rPr>
          <t xml:space="preserve">
Put the expected annual growth rate for year two in your fixed operating expenses here</t>
        </r>
      </text>
    </comment>
    <comment ref="K8" authorId="0" shapeId="0" xr:uid="{00000000-0006-0000-0400-000002000000}">
      <text>
        <r>
          <rPr>
            <b/>
            <sz val="9"/>
            <color indexed="81"/>
            <rFont val="Tahoma"/>
            <family val="2"/>
          </rPr>
          <t>Admin:</t>
        </r>
        <r>
          <rPr>
            <sz val="9"/>
            <color indexed="81"/>
            <rFont val="Tahoma"/>
            <family val="2"/>
          </rPr>
          <t xml:space="preserve">
Put the expected annual growth rate for year three in your fixed operating expenses here</t>
        </r>
      </text>
    </comment>
    <comment ref="G11" authorId="0" shapeId="0" xr:uid="{2C26B3B3-D666-4205-95A9-2C9ABF84EC66}">
      <text>
        <r>
          <rPr>
            <b/>
            <sz val="9"/>
            <color indexed="81"/>
            <rFont val="Tahoma"/>
            <family val="2"/>
          </rPr>
          <t>Admin:</t>
        </r>
        <r>
          <rPr>
            <sz val="9"/>
            <color indexed="81"/>
            <rFont val="Tahoma"/>
            <family val="2"/>
          </rPr>
          <t xml:space="preserve">
Enter the amount that you plan to spend monthly on advertising</t>
        </r>
      </text>
    </comment>
    <comment ref="G12" authorId="0" shapeId="0" xr:uid="{942F2128-D9BF-42F3-B1BB-CD3B6DEAC11F}">
      <text>
        <r>
          <rPr>
            <b/>
            <sz val="9"/>
            <color indexed="81"/>
            <rFont val="Tahoma"/>
            <family val="2"/>
          </rPr>
          <t>Admin:</t>
        </r>
        <r>
          <rPr>
            <sz val="9"/>
            <color indexed="81"/>
            <rFont val="Tahoma"/>
            <family val="2"/>
          </rPr>
          <t xml:space="preserve">
Enter the amount for gasoline, maintenance etc. for company owned vehicles or reimbursement amounts for employee owned vehicles used for business purposes</t>
        </r>
      </text>
    </comment>
    <comment ref="G13" authorId="0" shapeId="0" xr:uid="{100ABA28-C95D-487C-8CF6-280B01511A21}">
      <text>
        <r>
          <rPr>
            <b/>
            <sz val="9"/>
            <color indexed="81"/>
            <rFont val="Tahoma"/>
            <family val="2"/>
          </rPr>
          <t>Admin:</t>
        </r>
        <r>
          <rPr>
            <sz val="9"/>
            <color indexed="81"/>
            <rFont val="Tahoma"/>
            <family val="2"/>
          </rPr>
          <t xml:space="preserve">
Estimate monthly fees for bank services</t>
        </r>
      </text>
    </comment>
    <comment ref="G14" authorId="0" shapeId="0" xr:uid="{CE481C14-59BA-42E8-9BC6-4BFB4149DA22}">
      <text>
        <r>
          <rPr>
            <b/>
            <sz val="9"/>
            <color indexed="81"/>
            <rFont val="Tahoma"/>
            <family val="2"/>
          </rPr>
          <t>Admin:</t>
        </r>
        <r>
          <rPr>
            <sz val="9"/>
            <color indexed="81"/>
            <rFont val="Tahoma"/>
            <family val="2"/>
          </rPr>
          <t xml:space="preserve">
If you plan to use contract labor (reporting their income to them on Form 1099) put the monthly amount here</t>
        </r>
      </text>
    </comment>
    <comment ref="G15" authorId="0" shapeId="0" xr:uid="{6C283FE6-50E1-423C-9943-3AD41F7FC087}">
      <text>
        <r>
          <rPr>
            <b/>
            <sz val="9"/>
            <color indexed="81"/>
            <rFont val="Tahoma"/>
            <family val="2"/>
          </rPr>
          <t>Admin:</t>
        </r>
        <r>
          <rPr>
            <sz val="9"/>
            <color indexed="81"/>
            <rFont val="Tahoma"/>
            <family val="2"/>
          </rPr>
          <t xml:space="preserve">
If you plan to attend any conferences for business purposes put the annual amount of the total costs and divied by 12</t>
        </r>
      </text>
    </comment>
    <comment ref="G16" authorId="0" shapeId="0" xr:uid="{366505BE-6888-45A2-898E-2EFA599240BC}">
      <text>
        <r>
          <rPr>
            <b/>
            <sz val="9"/>
            <color indexed="81"/>
            <rFont val="Tahoma"/>
            <family val="2"/>
          </rPr>
          <t>Admin:</t>
        </r>
        <r>
          <rPr>
            <sz val="9"/>
            <color indexed="81"/>
            <rFont val="Tahoma"/>
            <family val="2"/>
          </rPr>
          <t xml:space="preserve">
If you expect to have to refund a particular amount esch month put it here</t>
        </r>
      </text>
    </comment>
    <comment ref="G17" authorId="0" shapeId="0" xr:uid="{F25E24B7-B75F-4BEE-8319-F964FE5C76FE}">
      <text>
        <r>
          <rPr>
            <b/>
            <sz val="9"/>
            <color indexed="81"/>
            <rFont val="Tahoma"/>
            <family val="2"/>
          </rPr>
          <t>Admin:</t>
        </r>
        <r>
          <rPr>
            <sz val="9"/>
            <color indexed="81"/>
            <rFont val="Tahoma"/>
            <family val="2"/>
          </rPr>
          <t xml:space="preserve">
If you subscribe to industry magazines or are a member of industry groups divide the total by 12 and put it here</t>
        </r>
      </text>
    </comment>
    <comment ref="G19" authorId="0" shapeId="0" xr:uid="{F73F0994-556E-435D-8BD7-F690EFE55C1C}">
      <text>
        <r>
          <rPr>
            <b/>
            <sz val="9"/>
            <color indexed="81"/>
            <rFont val="Tahoma"/>
            <family val="2"/>
          </rPr>
          <t>Admin:</t>
        </r>
        <r>
          <rPr>
            <sz val="9"/>
            <color indexed="81"/>
            <rFont val="Tahoma"/>
            <family val="2"/>
          </rPr>
          <t xml:space="preserve">
Divide the annual cost of all insurance preiums by 12 and put it here</t>
        </r>
      </text>
    </comment>
    <comment ref="G20" authorId="0" shapeId="0" xr:uid="{D21EB4B5-9DCA-4B62-838F-14CC5364A9EF}">
      <text>
        <r>
          <rPr>
            <b/>
            <sz val="9"/>
            <color indexed="81"/>
            <rFont val="Tahoma"/>
            <family val="2"/>
          </rPr>
          <t>Admin:</t>
        </r>
        <r>
          <rPr>
            <sz val="9"/>
            <color indexed="81"/>
            <rFont val="Tahoma"/>
            <family val="2"/>
          </rPr>
          <t xml:space="preserve">
Divide the annual cost of all licensing, permits
 by 12 and put it here</t>
        </r>
      </text>
    </comment>
    <comment ref="G21" authorId="0" shapeId="0" xr:uid="{6B07408A-E97E-49AC-A08F-ED2454A82017}">
      <text>
        <r>
          <rPr>
            <b/>
            <sz val="9"/>
            <color indexed="81"/>
            <rFont val="Tahoma"/>
            <family val="2"/>
          </rPr>
          <t>Admin:</t>
        </r>
        <r>
          <rPr>
            <sz val="9"/>
            <color indexed="81"/>
            <rFont val="Tahoma"/>
            <family val="2"/>
          </rPr>
          <t xml:space="preserve">
If you plan to have an accountant prepare your taxes and financial statements and have any regular legal costs, divide the total annual expenses by 12 and put it here
</t>
        </r>
      </text>
    </comment>
    <comment ref="G22" authorId="0" shapeId="0" xr:uid="{B7255CCB-382C-4430-A7A7-719563590999}">
      <text>
        <r>
          <rPr>
            <b/>
            <sz val="9"/>
            <color indexed="81"/>
            <rFont val="Tahoma"/>
            <family val="2"/>
          </rPr>
          <t>Admin:</t>
        </r>
        <r>
          <rPr>
            <sz val="9"/>
            <color indexed="81"/>
            <rFont val="Tahoma"/>
            <family val="2"/>
          </rPr>
          <t xml:space="preserve">
Put the monthly expected costs for paper, envelopes, etc. here</t>
        </r>
      </text>
    </comment>
    <comment ref="G23" authorId="0" shapeId="0" xr:uid="{C1EDFEC2-66C1-4331-AA8C-1CA4C6A74CAF}">
      <text>
        <r>
          <rPr>
            <b/>
            <sz val="9"/>
            <color indexed="81"/>
            <rFont val="Tahoma"/>
            <family val="2"/>
          </rPr>
          <t>Admin:</t>
        </r>
        <r>
          <rPr>
            <sz val="9"/>
            <color indexed="81"/>
            <rFont val="Tahoma"/>
            <family val="2"/>
          </rPr>
          <t xml:space="preserve">
This is for postage and delivery costs not directly associated with a sale to a customer</t>
        </r>
      </text>
    </comment>
    <comment ref="G24" authorId="0" shapeId="0" xr:uid="{8B30CBAF-A4ED-487F-948F-0CA424A287F8}">
      <text>
        <r>
          <rPr>
            <b/>
            <sz val="9"/>
            <color indexed="81"/>
            <rFont val="Tahoma"/>
            <family val="2"/>
          </rPr>
          <t>Admin:</t>
        </r>
        <r>
          <rPr>
            <sz val="9"/>
            <color indexed="81"/>
            <rFont val="Tahoma"/>
            <family val="2"/>
          </rPr>
          <t xml:space="preserve">
Put your monthly rent plus any common area expenses here</t>
        </r>
      </text>
    </comment>
    <comment ref="G25" authorId="0" shapeId="0" xr:uid="{FADB304C-75B8-420F-AC34-6F51797FF267}">
      <text>
        <r>
          <rPr>
            <b/>
            <sz val="9"/>
            <color indexed="81"/>
            <rFont val="Tahoma"/>
            <family val="2"/>
          </rPr>
          <t>Admin:</t>
        </r>
        <r>
          <rPr>
            <sz val="9"/>
            <color indexed="81"/>
            <rFont val="Tahoma"/>
            <family val="2"/>
          </rPr>
          <t xml:space="preserve">
If you lease any vehicles or equipment like computers, forklifts, copiers, put the monthly amount here</t>
        </r>
      </text>
    </comment>
    <comment ref="G26" authorId="0" shapeId="0" xr:uid="{0A381A93-B67E-474C-8595-37E4DF3128F6}">
      <text>
        <r>
          <rPr>
            <b/>
            <sz val="9"/>
            <color indexed="81"/>
            <rFont val="Tahoma"/>
            <family val="2"/>
          </rPr>
          <t>Admin:</t>
        </r>
        <r>
          <rPr>
            <sz val="9"/>
            <color indexed="81"/>
            <rFont val="Tahoma"/>
            <family val="2"/>
          </rPr>
          <t xml:space="preserve">
If you have brochures prepared or have a company manage your web page, Twitter or Facebook pages, put the monthly cost here</t>
        </r>
      </text>
    </comment>
    <comment ref="G28" authorId="0" shapeId="0" xr:uid="{A09270CE-27A4-4B54-8510-0D952345E5B3}">
      <text>
        <r>
          <rPr>
            <b/>
            <sz val="9"/>
            <color indexed="81"/>
            <rFont val="Tahoma"/>
            <family val="2"/>
          </rPr>
          <t>Admin:</t>
        </r>
        <r>
          <rPr>
            <sz val="9"/>
            <color indexed="81"/>
            <rFont val="Tahoma"/>
            <family val="2"/>
          </rPr>
          <t xml:space="preserve">
This is for the monthly cost of all phones (cell and hard line) as well as internet access and keeping your web page </t>
        </r>
      </text>
    </comment>
    <comment ref="G29" authorId="0" shapeId="0" xr:uid="{F34BDA0F-C614-4B58-B6CC-34896F046FCC}">
      <text>
        <r>
          <rPr>
            <b/>
            <sz val="9"/>
            <color indexed="81"/>
            <rFont val="Tahoma"/>
            <family val="2"/>
          </rPr>
          <t>Admin:</t>
        </r>
        <r>
          <rPr>
            <sz val="9"/>
            <color indexed="81"/>
            <rFont val="Tahoma"/>
            <family val="2"/>
          </rPr>
          <t xml:space="preserve">
For business related travel expenses</t>
        </r>
      </text>
    </comment>
    <comment ref="G30" authorId="0" shapeId="0" xr:uid="{4630A178-A504-4126-9CDD-55D35577023A}">
      <text>
        <r>
          <rPr>
            <b/>
            <sz val="9"/>
            <color indexed="81"/>
            <rFont val="Tahoma"/>
            <family val="2"/>
          </rPr>
          <t>Admin:</t>
        </r>
        <r>
          <rPr>
            <sz val="9"/>
            <color indexed="81"/>
            <rFont val="Tahoma"/>
            <family val="2"/>
          </rPr>
          <t xml:space="preserve">
Water, electric, gas, cable TV 
</t>
        </r>
      </text>
    </comment>
    <comment ref="G34" authorId="0" shapeId="0" xr:uid="{00000000-0006-0000-0400-000015000000}">
      <text>
        <r>
          <rPr>
            <b/>
            <sz val="9"/>
            <color indexed="81"/>
            <rFont val="Tahoma"/>
            <family val="2"/>
          </rPr>
          <t>Admin:</t>
        </r>
        <r>
          <rPr>
            <sz val="9"/>
            <color indexed="81"/>
            <rFont val="Tahoma"/>
            <family val="2"/>
          </rPr>
          <t xml:space="preserve">
Calculated from categories  like equipment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E9" authorId="0" shapeId="0" xr:uid="{00000000-0006-0000-0600-000001000000}">
      <text>
        <r>
          <rPr>
            <b/>
            <sz val="9"/>
            <color indexed="81"/>
            <rFont val="Tahoma"/>
            <family val="2"/>
          </rPr>
          <t>Admin:</t>
        </r>
        <r>
          <rPr>
            <sz val="9"/>
            <color indexed="81"/>
            <rFont val="Tahoma"/>
            <family val="2"/>
          </rPr>
          <t xml:space="preserve">
Put the gross sales amount for your first product here</t>
        </r>
      </text>
    </comment>
    <comment ref="E10" authorId="0" shapeId="0" xr:uid="{00000000-0006-0000-0600-000002000000}">
      <text>
        <r>
          <rPr>
            <b/>
            <sz val="9"/>
            <color indexed="81"/>
            <rFont val="Tahoma"/>
            <family val="2"/>
          </rPr>
          <t>Admin:</t>
        </r>
        <r>
          <rPr>
            <sz val="9"/>
            <color indexed="81"/>
            <rFont val="Tahoma"/>
            <family val="2"/>
          </rPr>
          <t xml:space="preserve">
This is calculated from the Total Cost of Goods Sold for product 1 in tab 4 - Cost of Goods Svcs Sold </t>
        </r>
      </text>
    </comment>
    <comment ref="H14" authorId="0" shapeId="0" xr:uid="{B13694ED-5E65-451B-81F9-01FD94733238}">
      <text>
        <r>
          <rPr>
            <b/>
            <sz val="9"/>
            <color indexed="81"/>
            <rFont val="Tahoma"/>
            <family val="2"/>
          </rPr>
          <t>Admin:</t>
        </r>
        <r>
          <rPr>
            <sz val="9"/>
            <color indexed="81"/>
            <rFont val="Tahoma"/>
            <family val="2"/>
          </rPr>
          <t xml:space="preserve">
The number of this product sold in the first month</t>
        </r>
      </text>
    </comment>
    <comment ref="I14" authorId="0" shapeId="0" xr:uid="{AF3E9C34-593E-45EF-A9AC-D6818BCC146D}">
      <text>
        <r>
          <rPr>
            <b/>
            <sz val="9"/>
            <color indexed="81"/>
            <rFont val="Tahoma"/>
            <family val="2"/>
          </rPr>
          <t>Admin:</t>
        </r>
        <r>
          <rPr>
            <sz val="9"/>
            <color indexed="81"/>
            <rFont val="Tahoma"/>
            <family val="2"/>
          </rPr>
          <t xml:space="preserve">
The number of this product sold in the 2nd month</t>
        </r>
      </text>
    </comment>
    <comment ref="J14" authorId="0" shapeId="0" xr:uid="{BCE2B93D-8929-4271-BDC1-122D0DB74C7A}">
      <text>
        <r>
          <rPr>
            <b/>
            <sz val="9"/>
            <color indexed="81"/>
            <rFont val="Tahoma"/>
            <family val="2"/>
          </rPr>
          <t>Admin:</t>
        </r>
        <r>
          <rPr>
            <sz val="9"/>
            <color indexed="81"/>
            <rFont val="Tahoma"/>
            <family val="2"/>
          </rPr>
          <t xml:space="preserve">
The number of this product sold in the 2nd month</t>
        </r>
      </text>
    </comment>
    <comment ref="K14" authorId="0" shapeId="0" xr:uid="{0FD83BC2-1CD9-4F3A-97A7-AC5EDD748186}">
      <text>
        <r>
          <rPr>
            <b/>
            <sz val="9"/>
            <color indexed="81"/>
            <rFont val="Tahoma"/>
            <family val="2"/>
          </rPr>
          <t>Admin:</t>
        </r>
        <r>
          <rPr>
            <sz val="9"/>
            <color indexed="81"/>
            <rFont val="Tahoma"/>
            <family val="2"/>
          </rPr>
          <t xml:space="preserve">
The number of this product sold in the 4th month</t>
        </r>
      </text>
    </comment>
    <comment ref="L14" authorId="0" shapeId="0" xr:uid="{75651608-4AD6-4CA5-82EA-1D2C3F17E64C}">
      <text>
        <r>
          <rPr>
            <b/>
            <sz val="9"/>
            <color indexed="81"/>
            <rFont val="Tahoma"/>
            <family val="2"/>
          </rPr>
          <t>Admin:</t>
        </r>
        <r>
          <rPr>
            <sz val="9"/>
            <color indexed="81"/>
            <rFont val="Tahoma"/>
            <family val="2"/>
          </rPr>
          <t xml:space="preserve">
The number of this product sold in the 5th month</t>
        </r>
      </text>
    </comment>
    <comment ref="M14" authorId="0" shapeId="0" xr:uid="{4F6DBDD7-7BF9-437B-9FE5-4B81DDE59BFA}">
      <text>
        <r>
          <rPr>
            <b/>
            <sz val="9"/>
            <color indexed="81"/>
            <rFont val="Tahoma"/>
            <family val="2"/>
          </rPr>
          <t>Admin:</t>
        </r>
        <r>
          <rPr>
            <sz val="9"/>
            <color indexed="81"/>
            <rFont val="Tahoma"/>
            <family val="2"/>
          </rPr>
          <t xml:space="preserve">
The number of this product sold in the 6th month</t>
        </r>
      </text>
    </comment>
    <comment ref="N14" authorId="0" shapeId="0" xr:uid="{B9AAF510-8B94-42F5-8328-A16CE274C390}">
      <text>
        <r>
          <rPr>
            <b/>
            <sz val="9"/>
            <color indexed="81"/>
            <rFont val="Tahoma"/>
            <family val="2"/>
          </rPr>
          <t>Admin:</t>
        </r>
        <r>
          <rPr>
            <sz val="9"/>
            <color indexed="81"/>
            <rFont val="Tahoma"/>
            <family val="2"/>
          </rPr>
          <t xml:space="preserve">
The number of this product sold in the 7th month</t>
        </r>
      </text>
    </comment>
    <comment ref="O14" authorId="0" shapeId="0" xr:uid="{3B8146CF-E7DA-4CC8-9BE6-D987BDA45222}">
      <text>
        <r>
          <rPr>
            <b/>
            <sz val="9"/>
            <color indexed="81"/>
            <rFont val="Tahoma"/>
            <family val="2"/>
          </rPr>
          <t>Admin:</t>
        </r>
        <r>
          <rPr>
            <sz val="9"/>
            <color indexed="81"/>
            <rFont val="Tahoma"/>
            <family val="2"/>
          </rPr>
          <t xml:space="preserve">
The number of this product sold in the 8th month</t>
        </r>
      </text>
    </comment>
    <comment ref="P14" authorId="0" shapeId="0" xr:uid="{EA6D7495-0A8B-4DD0-BC5E-800F57C29001}">
      <text>
        <r>
          <rPr>
            <b/>
            <sz val="9"/>
            <color indexed="81"/>
            <rFont val="Tahoma"/>
            <family val="2"/>
          </rPr>
          <t>Admin:</t>
        </r>
        <r>
          <rPr>
            <sz val="9"/>
            <color indexed="81"/>
            <rFont val="Tahoma"/>
            <family val="2"/>
          </rPr>
          <t xml:space="preserve">
The number of this product sold in the 9th month</t>
        </r>
      </text>
    </comment>
    <comment ref="Q14" authorId="0" shapeId="0" xr:uid="{3CE86E5D-A52D-4DED-9039-625293F6890F}">
      <text>
        <r>
          <rPr>
            <b/>
            <sz val="9"/>
            <color indexed="81"/>
            <rFont val="Tahoma"/>
            <family val="2"/>
          </rPr>
          <t>Admin:</t>
        </r>
        <r>
          <rPr>
            <sz val="9"/>
            <color indexed="81"/>
            <rFont val="Tahoma"/>
            <family val="2"/>
          </rPr>
          <t xml:space="preserve">
The number of this product sold in the 10th month</t>
        </r>
      </text>
    </comment>
    <comment ref="R14" authorId="0" shapeId="0" xr:uid="{68359C9A-2CC3-4E4C-BB36-3289F10D5847}">
      <text>
        <r>
          <rPr>
            <b/>
            <sz val="9"/>
            <color indexed="81"/>
            <rFont val="Tahoma"/>
            <family val="2"/>
          </rPr>
          <t>Admin:</t>
        </r>
        <r>
          <rPr>
            <sz val="9"/>
            <color indexed="81"/>
            <rFont val="Tahoma"/>
            <family val="2"/>
          </rPr>
          <t xml:space="preserve">
The number of this product sold in the 11th month</t>
        </r>
      </text>
    </comment>
    <comment ref="S14" authorId="0" shapeId="0" xr:uid="{0D0BA89E-B87D-4837-B21E-2058C04E1796}">
      <text>
        <r>
          <rPr>
            <b/>
            <sz val="9"/>
            <color indexed="81"/>
            <rFont val="Tahoma"/>
            <family val="2"/>
          </rPr>
          <t>Admin:</t>
        </r>
        <r>
          <rPr>
            <sz val="9"/>
            <color indexed="81"/>
            <rFont val="Tahoma"/>
            <family val="2"/>
          </rPr>
          <t xml:space="preserve">
The number of this product sold in the 12th month</t>
        </r>
      </text>
    </comment>
    <comment ref="E15" authorId="0" shapeId="0" xr:uid="{00000000-0006-0000-0600-00000F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16" authorId="0" shapeId="0" xr:uid="{00000000-0006-0000-0600-000010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31" authorId="0" shapeId="0" xr:uid="{00000000-0006-0000-0600-000011000000}">
      <text>
        <r>
          <rPr>
            <b/>
            <sz val="9"/>
            <color indexed="81"/>
            <rFont val="Tahoma"/>
            <family val="2"/>
          </rPr>
          <t>Admin:</t>
        </r>
        <r>
          <rPr>
            <sz val="9"/>
            <color indexed="81"/>
            <rFont val="Tahoma"/>
            <family val="2"/>
          </rPr>
          <t xml:space="preserve">
Put the gross sales amount for your second product here</t>
        </r>
      </text>
    </comment>
    <comment ref="E32" authorId="0" shapeId="0" xr:uid="{00000000-0006-0000-0600-000012000000}">
      <text>
        <r>
          <rPr>
            <b/>
            <sz val="9"/>
            <color indexed="81"/>
            <rFont val="Tahoma"/>
            <family val="2"/>
          </rPr>
          <t>Admin:</t>
        </r>
        <r>
          <rPr>
            <sz val="9"/>
            <color indexed="81"/>
            <rFont val="Tahoma"/>
            <family val="2"/>
          </rPr>
          <t xml:space="preserve">
This is calculated from the Total Cost of Goods Sold for product 2 in tab 4 - Cost of Goods Svcs Sold </t>
        </r>
      </text>
    </comment>
    <comment ref="H36" authorId="0" shapeId="0" xr:uid="{E40BEB57-EE90-484B-B99B-23A7A4447AB4}">
      <text>
        <r>
          <rPr>
            <b/>
            <sz val="9"/>
            <color indexed="81"/>
            <rFont val="Tahoma"/>
            <family val="2"/>
          </rPr>
          <t>Admin:</t>
        </r>
        <r>
          <rPr>
            <sz val="9"/>
            <color indexed="81"/>
            <rFont val="Tahoma"/>
            <family val="2"/>
          </rPr>
          <t xml:space="preserve">
The number of this product sold in the first month</t>
        </r>
      </text>
    </comment>
    <comment ref="I36" authorId="0" shapeId="0" xr:uid="{4E85E312-7454-43A1-8930-E0CD6718DA79}">
      <text>
        <r>
          <rPr>
            <b/>
            <sz val="9"/>
            <color indexed="81"/>
            <rFont val="Tahoma"/>
            <family val="2"/>
          </rPr>
          <t>Admin:</t>
        </r>
        <r>
          <rPr>
            <sz val="9"/>
            <color indexed="81"/>
            <rFont val="Tahoma"/>
            <family val="2"/>
          </rPr>
          <t xml:space="preserve">
The number of this product sold in the first month</t>
        </r>
      </text>
    </comment>
    <comment ref="J36" authorId="0" shapeId="0" xr:uid="{72D263AF-983C-4BB7-8F25-9571F355BC72}">
      <text>
        <r>
          <rPr>
            <b/>
            <sz val="9"/>
            <color indexed="81"/>
            <rFont val="Tahoma"/>
            <family val="2"/>
          </rPr>
          <t>Admin:</t>
        </r>
        <r>
          <rPr>
            <sz val="9"/>
            <color indexed="81"/>
            <rFont val="Tahoma"/>
            <family val="2"/>
          </rPr>
          <t xml:space="preserve">
The number of this product sold in the first month</t>
        </r>
      </text>
    </comment>
    <comment ref="K36" authorId="0" shapeId="0" xr:uid="{F00210FF-2581-4A7E-88EA-11481E71FC80}">
      <text>
        <r>
          <rPr>
            <b/>
            <sz val="9"/>
            <color indexed="81"/>
            <rFont val="Tahoma"/>
            <family val="2"/>
          </rPr>
          <t>Admin:</t>
        </r>
        <r>
          <rPr>
            <sz val="9"/>
            <color indexed="81"/>
            <rFont val="Tahoma"/>
            <family val="2"/>
          </rPr>
          <t xml:space="preserve">
The number of this product sold in the first month</t>
        </r>
      </text>
    </comment>
    <comment ref="L36" authorId="0" shapeId="0" xr:uid="{BC6F317E-3AB8-43B7-8D90-34949C7505F4}">
      <text>
        <r>
          <rPr>
            <b/>
            <sz val="9"/>
            <color indexed="81"/>
            <rFont val="Tahoma"/>
            <family val="2"/>
          </rPr>
          <t>Admin:</t>
        </r>
        <r>
          <rPr>
            <sz val="9"/>
            <color indexed="81"/>
            <rFont val="Tahoma"/>
            <family val="2"/>
          </rPr>
          <t xml:space="preserve">
The number of this product sold in the first month</t>
        </r>
      </text>
    </comment>
    <comment ref="M36" authorId="0" shapeId="0" xr:uid="{EBECAA87-88AD-442D-BFAE-5110A52C7894}">
      <text>
        <r>
          <rPr>
            <b/>
            <sz val="9"/>
            <color indexed="81"/>
            <rFont val="Tahoma"/>
            <family val="2"/>
          </rPr>
          <t>Admin:</t>
        </r>
        <r>
          <rPr>
            <sz val="9"/>
            <color indexed="81"/>
            <rFont val="Tahoma"/>
            <family val="2"/>
          </rPr>
          <t xml:space="preserve">
The number of this product sold in the first month</t>
        </r>
      </text>
    </comment>
    <comment ref="N36" authorId="0" shapeId="0" xr:uid="{53C5112C-8531-47A4-A5E3-8A879F71D63F}">
      <text>
        <r>
          <rPr>
            <b/>
            <sz val="9"/>
            <color indexed="81"/>
            <rFont val="Tahoma"/>
            <family val="2"/>
          </rPr>
          <t>Admin:</t>
        </r>
        <r>
          <rPr>
            <sz val="9"/>
            <color indexed="81"/>
            <rFont val="Tahoma"/>
            <family val="2"/>
          </rPr>
          <t xml:space="preserve">
The number of this product sold in the first month</t>
        </r>
      </text>
    </comment>
    <comment ref="O36" authorId="0" shapeId="0" xr:uid="{6E861F07-82FA-4324-8C25-45568A3546F2}">
      <text>
        <r>
          <rPr>
            <b/>
            <sz val="9"/>
            <color indexed="81"/>
            <rFont val="Tahoma"/>
            <family val="2"/>
          </rPr>
          <t>Admin:</t>
        </r>
        <r>
          <rPr>
            <sz val="9"/>
            <color indexed="81"/>
            <rFont val="Tahoma"/>
            <family val="2"/>
          </rPr>
          <t xml:space="preserve">
The number of this product sold in the first month</t>
        </r>
      </text>
    </comment>
    <comment ref="P36" authorId="0" shapeId="0" xr:uid="{F3F0D860-B3EC-44B4-AA68-C4C0652B334E}">
      <text>
        <r>
          <rPr>
            <b/>
            <sz val="9"/>
            <color indexed="81"/>
            <rFont val="Tahoma"/>
            <family val="2"/>
          </rPr>
          <t>Admin:</t>
        </r>
        <r>
          <rPr>
            <sz val="9"/>
            <color indexed="81"/>
            <rFont val="Tahoma"/>
            <family val="2"/>
          </rPr>
          <t xml:space="preserve">
The number of this product sold in the first month</t>
        </r>
      </text>
    </comment>
    <comment ref="Q36" authorId="0" shapeId="0" xr:uid="{D8A028BF-7332-4FDF-87B2-FB062B1EA1E8}">
      <text>
        <r>
          <rPr>
            <b/>
            <sz val="9"/>
            <color indexed="81"/>
            <rFont val="Tahoma"/>
            <family val="2"/>
          </rPr>
          <t>Admin:</t>
        </r>
        <r>
          <rPr>
            <sz val="9"/>
            <color indexed="81"/>
            <rFont val="Tahoma"/>
            <family val="2"/>
          </rPr>
          <t xml:space="preserve">
The number of this product sold in the first month</t>
        </r>
      </text>
    </comment>
    <comment ref="R36" authorId="0" shapeId="0" xr:uid="{F71C46A9-BA43-424C-8F9A-25BEB6568023}">
      <text>
        <r>
          <rPr>
            <b/>
            <sz val="9"/>
            <color indexed="81"/>
            <rFont val="Tahoma"/>
            <family val="2"/>
          </rPr>
          <t>Admin:</t>
        </r>
        <r>
          <rPr>
            <sz val="9"/>
            <color indexed="81"/>
            <rFont val="Tahoma"/>
            <family val="2"/>
          </rPr>
          <t xml:space="preserve">
The number of this product sold in the first month</t>
        </r>
      </text>
    </comment>
    <comment ref="S36" authorId="0" shapeId="0" xr:uid="{D0F0BBDD-B23F-4522-A4D7-4DF84AE4E20B}">
      <text>
        <r>
          <rPr>
            <b/>
            <sz val="9"/>
            <color indexed="81"/>
            <rFont val="Tahoma"/>
            <family val="2"/>
          </rPr>
          <t>Admin:</t>
        </r>
        <r>
          <rPr>
            <sz val="9"/>
            <color indexed="81"/>
            <rFont val="Tahoma"/>
            <family val="2"/>
          </rPr>
          <t xml:space="preserve">
The number of this product sold in the first month</t>
        </r>
      </text>
    </comment>
    <comment ref="E37" authorId="0" shapeId="0" xr:uid="{00000000-0006-0000-0600-00001F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38" authorId="0" shapeId="0" xr:uid="{00000000-0006-0000-0600-000020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53" authorId="0" shapeId="0" xr:uid="{00000000-0006-0000-0600-000021000000}">
      <text>
        <r>
          <rPr>
            <b/>
            <sz val="9"/>
            <color indexed="81"/>
            <rFont val="Tahoma"/>
            <family val="2"/>
          </rPr>
          <t>Admin:</t>
        </r>
        <r>
          <rPr>
            <sz val="9"/>
            <color indexed="81"/>
            <rFont val="Tahoma"/>
            <family val="2"/>
          </rPr>
          <t xml:space="preserve">
Put the gross sales amount for your third product here</t>
        </r>
      </text>
    </comment>
    <comment ref="E54" authorId="0" shapeId="0" xr:uid="{00000000-0006-0000-0600-000022000000}">
      <text>
        <r>
          <rPr>
            <b/>
            <sz val="9"/>
            <color indexed="81"/>
            <rFont val="Tahoma"/>
            <family val="2"/>
          </rPr>
          <t>Admin:</t>
        </r>
        <r>
          <rPr>
            <sz val="9"/>
            <color indexed="81"/>
            <rFont val="Tahoma"/>
            <family val="2"/>
          </rPr>
          <t xml:space="preserve">
This is calculated from the Total Cost of Goods Sold for product 3 in tab 4 - Cost of Goods Svcs Sold </t>
        </r>
      </text>
    </comment>
    <comment ref="H58" authorId="0" shapeId="0" xr:uid="{7E9822FD-E992-4EBD-821C-D19DB6FA5D4A}">
      <text>
        <r>
          <rPr>
            <b/>
            <sz val="9"/>
            <color indexed="81"/>
            <rFont val="Tahoma"/>
            <family val="2"/>
          </rPr>
          <t>Admin:</t>
        </r>
        <r>
          <rPr>
            <sz val="9"/>
            <color indexed="81"/>
            <rFont val="Tahoma"/>
            <family val="2"/>
          </rPr>
          <t xml:space="preserve">
The number of this product sold in the first month</t>
        </r>
      </text>
    </comment>
    <comment ref="I58" authorId="0" shapeId="0" xr:uid="{CAA9B90A-8CD3-4B9D-89C3-3D9BBA008B6A}">
      <text>
        <r>
          <rPr>
            <b/>
            <sz val="9"/>
            <color indexed="81"/>
            <rFont val="Tahoma"/>
            <family val="2"/>
          </rPr>
          <t>Admin:</t>
        </r>
        <r>
          <rPr>
            <sz val="9"/>
            <color indexed="81"/>
            <rFont val="Tahoma"/>
            <family val="2"/>
          </rPr>
          <t xml:space="preserve">
The number of this product sold in the 2nd month</t>
        </r>
      </text>
    </comment>
    <comment ref="J58" authorId="0" shapeId="0" xr:uid="{8841BF94-BB66-4839-8AB5-65A223FFFE0E}">
      <text>
        <r>
          <rPr>
            <b/>
            <sz val="9"/>
            <color indexed="81"/>
            <rFont val="Tahoma"/>
            <family val="2"/>
          </rPr>
          <t>Admin:</t>
        </r>
        <r>
          <rPr>
            <sz val="9"/>
            <color indexed="81"/>
            <rFont val="Tahoma"/>
            <family val="2"/>
          </rPr>
          <t xml:space="preserve">
The number of this product sold in the 3rd month</t>
        </r>
      </text>
    </comment>
    <comment ref="K58" authorId="0" shapeId="0" xr:uid="{26136881-26F2-4075-92CE-8F58192EFB15}">
      <text>
        <r>
          <rPr>
            <b/>
            <sz val="9"/>
            <color indexed="81"/>
            <rFont val="Tahoma"/>
            <family val="2"/>
          </rPr>
          <t>Admin:</t>
        </r>
        <r>
          <rPr>
            <sz val="9"/>
            <color indexed="81"/>
            <rFont val="Tahoma"/>
            <family val="2"/>
          </rPr>
          <t xml:space="preserve">
The number of this product sold in the 4th month</t>
        </r>
      </text>
    </comment>
    <comment ref="L58" authorId="0" shapeId="0" xr:uid="{60BAD65B-62D8-4FA8-838B-4658A361EFF5}">
      <text>
        <r>
          <rPr>
            <b/>
            <sz val="9"/>
            <color indexed="81"/>
            <rFont val="Tahoma"/>
            <family val="2"/>
          </rPr>
          <t>Admin:</t>
        </r>
        <r>
          <rPr>
            <sz val="9"/>
            <color indexed="81"/>
            <rFont val="Tahoma"/>
            <family val="2"/>
          </rPr>
          <t xml:space="preserve">
The number of this product sold in the 5th month</t>
        </r>
      </text>
    </comment>
    <comment ref="M58" authorId="0" shapeId="0" xr:uid="{4B85B3BB-E037-4DAE-815E-CE1C7473FA58}">
      <text>
        <r>
          <rPr>
            <b/>
            <sz val="9"/>
            <color indexed="81"/>
            <rFont val="Tahoma"/>
            <family val="2"/>
          </rPr>
          <t>Admin:</t>
        </r>
        <r>
          <rPr>
            <sz val="9"/>
            <color indexed="81"/>
            <rFont val="Tahoma"/>
            <family val="2"/>
          </rPr>
          <t xml:space="preserve">
The number of this product sold in the 6th month</t>
        </r>
      </text>
    </comment>
    <comment ref="N58" authorId="0" shapeId="0" xr:uid="{36D73A44-8EFB-4DC1-9684-8A87FE009A27}">
      <text>
        <r>
          <rPr>
            <b/>
            <sz val="9"/>
            <color indexed="81"/>
            <rFont val="Tahoma"/>
            <family val="2"/>
          </rPr>
          <t>Admin:</t>
        </r>
        <r>
          <rPr>
            <sz val="9"/>
            <color indexed="81"/>
            <rFont val="Tahoma"/>
            <family val="2"/>
          </rPr>
          <t xml:space="preserve">
The number of this product sold in the 7th month</t>
        </r>
      </text>
    </comment>
    <comment ref="O58" authorId="0" shapeId="0" xr:uid="{2B31C37C-648A-4283-B1FD-C139B8A20EE5}">
      <text>
        <r>
          <rPr>
            <b/>
            <sz val="9"/>
            <color indexed="81"/>
            <rFont val="Tahoma"/>
            <family val="2"/>
          </rPr>
          <t>Admin:</t>
        </r>
        <r>
          <rPr>
            <sz val="9"/>
            <color indexed="81"/>
            <rFont val="Tahoma"/>
            <family val="2"/>
          </rPr>
          <t xml:space="preserve">
The number of this product sold in the 8th month</t>
        </r>
      </text>
    </comment>
    <comment ref="P58" authorId="0" shapeId="0" xr:uid="{61B43778-EA41-4464-9C7C-42A99CC3EA08}">
      <text>
        <r>
          <rPr>
            <b/>
            <sz val="9"/>
            <color indexed="81"/>
            <rFont val="Tahoma"/>
            <family val="2"/>
          </rPr>
          <t>Admin:</t>
        </r>
        <r>
          <rPr>
            <sz val="9"/>
            <color indexed="81"/>
            <rFont val="Tahoma"/>
            <family val="2"/>
          </rPr>
          <t xml:space="preserve">
The number of this product sold in the 9th month</t>
        </r>
      </text>
    </comment>
    <comment ref="Q58" authorId="0" shapeId="0" xr:uid="{7B6D5E3D-ADA4-4B74-A39F-8A0B32CD5F9B}">
      <text>
        <r>
          <rPr>
            <b/>
            <sz val="9"/>
            <color indexed="81"/>
            <rFont val="Tahoma"/>
            <family val="2"/>
          </rPr>
          <t>Admin:</t>
        </r>
        <r>
          <rPr>
            <sz val="9"/>
            <color indexed="81"/>
            <rFont val="Tahoma"/>
            <family val="2"/>
          </rPr>
          <t xml:space="preserve">
The number of this product sold in the 10th month</t>
        </r>
      </text>
    </comment>
    <comment ref="R58" authorId="0" shapeId="0" xr:uid="{EC700C20-7A2A-449B-A4A4-EF53A175B1F9}">
      <text>
        <r>
          <rPr>
            <b/>
            <sz val="9"/>
            <color indexed="81"/>
            <rFont val="Tahoma"/>
            <family val="2"/>
          </rPr>
          <t>Admin:</t>
        </r>
        <r>
          <rPr>
            <sz val="9"/>
            <color indexed="81"/>
            <rFont val="Tahoma"/>
            <family val="2"/>
          </rPr>
          <t xml:space="preserve">
The number of this product sold in the 11th month</t>
        </r>
      </text>
    </comment>
    <comment ref="S58" authorId="0" shapeId="0" xr:uid="{70C5D79E-436F-45DE-8ACE-2A34175B0AC6}">
      <text>
        <r>
          <rPr>
            <b/>
            <sz val="9"/>
            <color indexed="81"/>
            <rFont val="Tahoma"/>
            <family val="2"/>
          </rPr>
          <t>Admin:</t>
        </r>
        <r>
          <rPr>
            <sz val="9"/>
            <color indexed="81"/>
            <rFont val="Tahoma"/>
            <family val="2"/>
          </rPr>
          <t xml:space="preserve">
The number of this product sold in the 12th month</t>
        </r>
      </text>
    </comment>
    <comment ref="E59" authorId="0" shapeId="0" xr:uid="{00000000-0006-0000-0600-00002F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60" authorId="0" shapeId="0" xr:uid="{00000000-0006-0000-0600-000030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75" authorId="0" shapeId="0" xr:uid="{00000000-0006-0000-0600-000031000000}">
      <text>
        <r>
          <rPr>
            <b/>
            <sz val="9"/>
            <color indexed="81"/>
            <rFont val="Tahoma"/>
            <family val="2"/>
          </rPr>
          <t>Admin:</t>
        </r>
        <r>
          <rPr>
            <sz val="9"/>
            <color indexed="81"/>
            <rFont val="Tahoma"/>
            <family val="2"/>
          </rPr>
          <t xml:space="preserve">
Put the gross sales amount for your fourth product here</t>
        </r>
      </text>
    </comment>
    <comment ref="E76" authorId="0" shapeId="0" xr:uid="{00000000-0006-0000-0600-000032000000}">
      <text>
        <r>
          <rPr>
            <b/>
            <sz val="9"/>
            <color indexed="81"/>
            <rFont val="Tahoma"/>
            <family val="2"/>
          </rPr>
          <t>Admin:</t>
        </r>
        <r>
          <rPr>
            <sz val="9"/>
            <color indexed="81"/>
            <rFont val="Tahoma"/>
            <family val="2"/>
          </rPr>
          <t xml:space="preserve">
This is calculated from the Total Cost of Goods Sold for product 4 in tab 4 - Cost of Goods Svcs Sold </t>
        </r>
      </text>
    </comment>
    <comment ref="H80" authorId="0" shapeId="0" xr:uid="{379902A8-DCEB-4BF2-96F5-8A20FC061ACB}">
      <text>
        <r>
          <rPr>
            <b/>
            <sz val="9"/>
            <color indexed="81"/>
            <rFont val="Tahoma"/>
            <family val="2"/>
          </rPr>
          <t>Admin:</t>
        </r>
        <r>
          <rPr>
            <sz val="9"/>
            <color indexed="81"/>
            <rFont val="Tahoma"/>
            <family val="2"/>
          </rPr>
          <t xml:space="preserve">
The number of this product sold in the first month</t>
        </r>
      </text>
    </comment>
    <comment ref="I80" authorId="0" shapeId="0" xr:uid="{C032CC31-86EA-48DF-A049-3CAB55329B03}">
      <text>
        <r>
          <rPr>
            <b/>
            <sz val="9"/>
            <color indexed="81"/>
            <rFont val="Tahoma"/>
            <family val="2"/>
          </rPr>
          <t>Admin:</t>
        </r>
        <r>
          <rPr>
            <sz val="9"/>
            <color indexed="81"/>
            <rFont val="Tahoma"/>
            <family val="2"/>
          </rPr>
          <t xml:space="preserve">
The number of this product sold in the 2nd month</t>
        </r>
      </text>
    </comment>
    <comment ref="J80" authorId="0" shapeId="0" xr:uid="{EF5EF3AE-A5C2-40E2-AF8F-FC19343371E1}">
      <text>
        <r>
          <rPr>
            <b/>
            <sz val="9"/>
            <color indexed="81"/>
            <rFont val="Tahoma"/>
            <family val="2"/>
          </rPr>
          <t>Admin:</t>
        </r>
        <r>
          <rPr>
            <sz val="9"/>
            <color indexed="81"/>
            <rFont val="Tahoma"/>
            <family val="2"/>
          </rPr>
          <t xml:space="preserve">
The number of this product sold in the 3rd month</t>
        </r>
      </text>
    </comment>
    <comment ref="K80" authorId="0" shapeId="0" xr:uid="{4DDD73EB-9B12-4A0B-A078-1D199CDA7D5A}">
      <text>
        <r>
          <rPr>
            <b/>
            <sz val="9"/>
            <color indexed="81"/>
            <rFont val="Tahoma"/>
            <family val="2"/>
          </rPr>
          <t>Admin:</t>
        </r>
        <r>
          <rPr>
            <sz val="9"/>
            <color indexed="81"/>
            <rFont val="Tahoma"/>
            <family val="2"/>
          </rPr>
          <t xml:space="preserve">
The number of this product sold in the 4th month</t>
        </r>
      </text>
    </comment>
    <comment ref="L80" authorId="0" shapeId="0" xr:uid="{7EC32C1A-70E9-4650-91B0-597B6D35011F}">
      <text>
        <r>
          <rPr>
            <b/>
            <sz val="9"/>
            <color indexed="81"/>
            <rFont val="Tahoma"/>
            <family val="2"/>
          </rPr>
          <t>Admin:</t>
        </r>
        <r>
          <rPr>
            <sz val="9"/>
            <color indexed="81"/>
            <rFont val="Tahoma"/>
            <family val="2"/>
          </rPr>
          <t xml:space="preserve">
The number of this product sold in the 5th month</t>
        </r>
      </text>
    </comment>
    <comment ref="M80" authorId="0" shapeId="0" xr:uid="{230CA580-3B19-4614-9C55-930C4E0C3D44}">
      <text>
        <r>
          <rPr>
            <b/>
            <sz val="9"/>
            <color indexed="81"/>
            <rFont val="Tahoma"/>
            <family val="2"/>
          </rPr>
          <t>Admin:</t>
        </r>
        <r>
          <rPr>
            <sz val="9"/>
            <color indexed="81"/>
            <rFont val="Tahoma"/>
            <family val="2"/>
          </rPr>
          <t xml:space="preserve">
The number of this product sold in the 6th month</t>
        </r>
      </text>
    </comment>
    <comment ref="N80" authorId="0" shapeId="0" xr:uid="{D7EF56AB-268F-47D8-A536-8E57EB027C59}">
      <text>
        <r>
          <rPr>
            <b/>
            <sz val="9"/>
            <color indexed="81"/>
            <rFont val="Tahoma"/>
            <family val="2"/>
          </rPr>
          <t>Admin:</t>
        </r>
        <r>
          <rPr>
            <sz val="9"/>
            <color indexed="81"/>
            <rFont val="Tahoma"/>
            <family val="2"/>
          </rPr>
          <t xml:space="preserve">
The number of this product sold in the 7th month</t>
        </r>
      </text>
    </comment>
    <comment ref="O80" authorId="0" shapeId="0" xr:uid="{4A443319-EA50-4783-8E75-B0D5FB755D16}">
      <text>
        <r>
          <rPr>
            <b/>
            <sz val="9"/>
            <color indexed="81"/>
            <rFont val="Tahoma"/>
            <family val="2"/>
          </rPr>
          <t>Admin:</t>
        </r>
        <r>
          <rPr>
            <sz val="9"/>
            <color indexed="81"/>
            <rFont val="Tahoma"/>
            <family val="2"/>
          </rPr>
          <t xml:space="preserve">
The number of this product sold in the 8th month</t>
        </r>
      </text>
    </comment>
    <comment ref="P80" authorId="0" shapeId="0" xr:uid="{7C03AA7D-CC8F-4EB0-89B5-CC978D3B20B4}">
      <text>
        <r>
          <rPr>
            <b/>
            <sz val="9"/>
            <color indexed="81"/>
            <rFont val="Tahoma"/>
            <family val="2"/>
          </rPr>
          <t>Admin:</t>
        </r>
        <r>
          <rPr>
            <sz val="9"/>
            <color indexed="81"/>
            <rFont val="Tahoma"/>
            <family val="2"/>
          </rPr>
          <t xml:space="preserve">
The number of this product sold in the 9th month</t>
        </r>
      </text>
    </comment>
    <comment ref="Q80" authorId="0" shapeId="0" xr:uid="{6E37AF5D-C2F3-4D32-B001-B44DD7F4CC0A}">
      <text>
        <r>
          <rPr>
            <b/>
            <sz val="9"/>
            <color indexed="81"/>
            <rFont val="Tahoma"/>
            <family val="2"/>
          </rPr>
          <t>Admin:</t>
        </r>
        <r>
          <rPr>
            <sz val="9"/>
            <color indexed="81"/>
            <rFont val="Tahoma"/>
            <family val="2"/>
          </rPr>
          <t xml:space="preserve">
The number of this product sold in the 10th month</t>
        </r>
      </text>
    </comment>
    <comment ref="R80" authorId="0" shapeId="0" xr:uid="{66DA102F-6894-414C-9EA9-26B83025B3BF}">
      <text>
        <r>
          <rPr>
            <b/>
            <sz val="9"/>
            <color indexed="81"/>
            <rFont val="Tahoma"/>
            <family val="2"/>
          </rPr>
          <t>Admin:</t>
        </r>
        <r>
          <rPr>
            <sz val="9"/>
            <color indexed="81"/>
            <rFont val="Tahoma"/>
            <family val="2"/>
          </rPr>
          <t xml:space="preserve">
The number of this product sold in the 11th month</t>
        </r>
      </text>
    </comment>
    <comment ref="S80" authorId="0" shapeId="0" xr:uid="{34573CF9-A091-4CBE-A030-17697664A726}">
      <text>
        <r>
          <rPr>
            <b/>
            <sz val="9"/>
            <color indexed="81"/>
            <rFont val="Tahoma"/>
            <family val="2"/>
          </rPr>
          <t>Admin:</t>
        </r>
        <r>
          <rPr>
            <sz val="9"/>
            <color indexed="81"/>
            <rFont val="Tahoma"/>
            <family val="2"/>
          </rPr>
          <t xml:space="preserve">
The number of this product sold in the 12th month</t>
        </r>
      </text>
    </comment>
    <comment ref="E81" authorId="0" shapeId="0" xr:uid="{00000000-0006-0000-0600-00003F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82" authorId="0" shapeId="0" xr:uid="{00000000-0006-0000-0600-000040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97" authorId="0" shapeId="0" xr:uid="{00000000-0006-0000-0600-000041000000}">
      <text>
        <r>
          <rPr>
            <b/>
            <sz val="9"/>
            <color indexed="81"/>
            <rFont val="Tahoma"/>
            <family val="2"/>
          </rPr>
          <t>Admin:</t>
        </r>
        <r>
          <rPr>
            <sz val="9"/>
            <color indexed="81"/>
            <rFont val="Tahoma"/>
            <family val="2"/>
          </rPr>
          <t xml:space="preserve">
Put the gross sales amount for your fifth product here</t>
        </r>
      </text>
    </comment>
    <comment ref="E98" authorId="0" shapeId="0" xr:uid="{00000000-0006-0000-0600-000042000000}">
      <text>
        <r>
          <rPr>
            <b/>
            <sz val="9"/>
            <color indexed="81"/>
            <rFont val="Tahoma"/>
            <family val="2"/>
          </rPr>
          <t>Admin:</t>
        </r>
        <r>
          <rPr>
            <sz val="9"/>
            <color indexed="81"/>
            <rFont val="Tahoma"/>
            <family val="2"/>
          </rPr>
          <t xml:space="preserve">
This is calculated from the Total Cost of Goods Sold for product 5 in tab 4 - Cost of Goods Svcs Sold </t>
        </r>
      </text>
    </comment>
    <comment ref="H102" authorId="0" shapeId="0" xr:uid="{00000000-0006-0000-0600-000043000000}">
      <text>
        <r>
          <rPr>
            <b/>
            <sz val="9"/>
            <color indexed="81"/>
            <rFont val="Tahoma"/>
            <family val="2"/>
          </rPr>
          <t>Admin:</t>
        </r>
        <r>
          <rPr>
            <sz val="9"/>
            <color indexed="81"/>
            <rFont val="Tahoma"/>
            <family val="2"/>
          </rPr>
          <t xml:space="preserve">
The number of this product sold in the first month</t>
        </r>
      </text>
    </comment>
    <comment ref="I102" authorId="0" shapeId="0" xr:uid="{00000000-0006-0000-0600-000044000000}">
      <text>
        <r>
          <rPr>
            <b/>
            <sz val="9"/>
            <color indexed="81"/>
            <rFont val="Tahoma"/>
            <family val="2"/>
          </rPr>
          <t>Admin:</t>
        </r>
        <r>
          <rPr>
            <sz val="9"/>
            <color indexed="81"/>
            <rFont val="Tahoma"/>
            <family val="2"/>
          </rPr>
          <t xml:space="preserve">
The number of this product sold in the 2nd month</t>
        </r>
      </text>
    </comment>
    <comment ref="J102" authorId="0" shapeId="0" xr:uid="{00000000-0006-0000-0600-000045000000}">
      <text>
        <r>
          <rPr>
            <b/>
            <sz val="9"/>
            <color indexed="81"/>
            <rFont val="Tahoma"/>
            <family val="2"/>
          </rPr>
          <t>Admin:</t>
        </r>
        <r>
          <rPr>
            <sz val="9"/>
            <color indexed="81"/>
            <rFont val="Tahoma"/>
            <family val="2"/>
          </rPr>
          <t xml:space="preserve">
The number of this product sold in the 3rd month</t>
        </r>
      </text>
    </comment>
    <comment ref="K102" authorId="0" shapeId="0" xr:uid="{00000000-0006-0000-0600-000046000000}">
      <text>
        <r>
          <rPr>
            <b/>
            <sz val="9"/>
            <color indexed="81"/>
            <rFont val="Tahoma"/>
            <family val="2"/>
          </rPr>
          <t>Admin:</t>
        </r>
        <r>
          <rPr>
            <sz val="9"/>
            <color indexed="81"/>
            <rFont val="Tahoma"/>
            <family val="2"/>
          </rPr>
          <t xml:space="preserve">
The number of this product sold in the 4th month</t>
        </r>
      </text>
    </comment>
    <comment ref="L102" authorId="0" shapeId="0" xr:uid="{00000000-0006-0000-0600-000047000000}">
      <text>
        <r>
          <rPr>
            <b/>
            <sz val="9"/>
            <color indexed="81"/>
            <rFont val="Tahoma"/>
            <family val="2"/>
          </rPr>
          <t>Admin:</t>
        </r>
        <r>
          <rPr>
            <sz val="9"/>
            <color indexed="81"/>
            <rFont val="Tahoma"/>
            <family val="2"/>
          </rPr>
          <t xml:space="preserve">
The number of this product sold in the 5th month</t>
        </r>
      </text>
    </comment>
    <comment ref="M102" authorId="0" shapeId="0" xr:uid="{00000000-0006-0000-0600-000048000000}">
      <text>
        <r>
          <rPr>
            <b/>
            <sz val="9"/>
            <color indexed="81"/>
            <rFont val="Tahoma"/>
            <family val="2"/>
          </rPr>
          <t>Admin:</t>
        </r>
        <r>
          <rPr>
            <sz val="9"/>
            <color indexed="81"/>
            <rFont val="Tahoma"/>
            <family val="2"/>
          </rPr>
          <t xml:space="preserve">
The number of this product sold in the 6th month</t>
        </r>
      </text>
    </comment>
    <comment ref="N102" authorId="0" shapeId="0" xr:uid="{00000000-0006-0000-0600-000049000000}">
      <text>
        <r>
          <rPr>
            <b/>
            <sz val="9"/>
            <color indexed="81"/>
            <rFont val="Tahoma"/>
            <family val="2"/>
          </rPr>
          <t>Admin:</t>
        </r>
        <r>
          <rPr>
            <sz val="9"/>
            <color indexed="81"/>
            <rFont val="Tahoma"/>
            <family val="2"/>
          </rPr>
          <t xml:space="preserve">
The number of this product sold in the 7th month</t>
        </r>
      </text>
    </comment>
    <comment ref="O102" authorId="0" shapeId="0" xr:uid="{00000000-0006-0000-0600-00004A000000}">
      <text>
        <r>
          <rPr>
            <b/>
            <sz val="9"/>
            <color indexed="81"/>
            <rFont val="Tahoma"/>
            <family val="2"/>
          </rPr>
          <t>Admin:</t>
        </r>
        <r>
          <rPr>
            <sz val="9"/>
            <color indexed="81"/>
            <rFont val="Tahoma"/>
            <family val="2"/>
          </rPr>
          <t xml:space="preserve">
The number of this product sold in the 8th month</t>
        </r>
      </text>
    </comment>
    <comment ref="P102" authorId="0" shapeId="0" xr:uid="{00000000-0006-0000-0600-00004B000000}">
      <text>
        <r>
          <rPr>
            <b/>
            <sz val="9"/>
            <color indexed="81"/>
            <rFont val="Tahoma"/>
            <family val="2"/>
          </rPr>
          <t>Admin:</t>
        </r>
        <r>
          <rPr>
            <sz val="9"/>
            <color indexed="81"/>
            <rFont val="Tahoma"/>
            <family val="2"/>
          </rPr>
          <t xml:space="preserve">
The number of this product sold in the 9th month</t>
        </r>
      </text>
    </comment>
    <comment ref="Q102" authorId="0" shapeId="0" xr:uid="{00000000-0006-0000-0600-00004C000000}">
      <text>
        <r>
          <rPr>
            <b/>
            <sz val="9"/>
            <color indexed="81"/>
            <rFont val="Tahoma"/>
            <family val="2"/>
          </rPr>
          <t>Admin:</t>
        </r>
        <r>
          <rPr>
            <sz val="9"/>
            <color indexed="81"/>
            <rFont val="Tahoma"/>
            <family val="2"/>
          </rPr>
          <t xml:space="preserve">
The number of this product sold in the 10th month</t>
        </r>
      </text>
    </comment>
    <comment ref="R102" authorId="0" shapeId="0" xr:uid="{00000000-0006-0000-0600-00004D000000}">
      <text>
        <r>
          <rPr>
            <b/>
            <sz val="9"/>
            <color indexed="81"/>
            <rFont val="Tahoma"/>
            <family val="2"/>
          </rPr>
          <t>Admin:</t>
        </r>
        <r>
          <rPr>
            <sz val="9"/>
            <color indexed="81"/>
            <rFont val="Tahoma"/>
            <family val="2"/>
          </rPr>
          <t xml:space="preserve">
The number of this product sold in the 11th month</t>
        </r>
      </text>
    </comment>
    <comment ref="S102" authorId="0" shapeId="0" xr:uid="{00000000-0006-0000-0600-00004E000000}">
      <text>
        <r>
          <rPr>
            <b/>
            <sz val="9"/>
            <color indexed="81"/>
            <rFont val="Tahoma"/>
            <family val="2"/>
          </rPr>
          <t>Admin:</t>
        </r>
        <r>
          <rPr>
            <sz val="9"/>
            <color indexed="81"/>
            <rFont val="Tahoma"/>
            <family val="2"/>
          </rPr>
          <t xml:space="preserve">
The number of this product sold in the 12th month</t>
        </r>
      </text>
    </comment>
    <comment ref="E103" authorId="0" shapeId="0" xr:uid="{00000000-0006-0000-0600-00004F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104" authorId="0" shapeId="0" xr:uid="{00000000-0006-0000-0600-000050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119" authorId="0" shapeId="0" xr:uid="{00000000-0006-0000-0600-000051000000}">
      <text>
        <r>
          <rPr>
            <b/>
            <sz val="9"/>
            <color indexed="81"/>
            <rFont val="Tahoma"/>
            <family val="2"/>
          </rPr>
          <t>Admin:</t>
        </r>
        <r>
          <rPr>
            <sz val="9"/>
            <color indexed="81"/>
            <rFont val="Tahoma"/>
            <family val="2"/>
          </rPr>
          <t xml:space="preserve">
Put the gross sales amount for your sixth product here</t>
        </r>
      </text>
    </comment>
    <comment ref="E120" authorId="0" shapeId="0" xr:uid="{00000000-0006-0000-0600-000052000000}">
      <text>
        <r>
          <rPr>
            <b/>
            <sz val="9"/>
            <color indexed="81"/>
            <rFont val="Tahoma"/>
            <family val="2"/>
          </rPr>
          <t>Admin:</t>
        </r>
        <r>
          <rPr>
            <sz val="9"/>
            <color indexed="81"/>
            <rFont val="Tahoma"/>
            <family val="2"/>
          </rPr>
          <t xml:space="preserve">
This is calculated from the Total Cost of Goods Sold for product 6 in tab 4 - Cost of Goods Svcs Sold </t>
        </r>
      </text>
    </comment>
    <comment ref="H124" authorId="0" shapeId="0" xr:uid="{00000000-0006-0000-0600-000053000000}">
      <text>
        <r>
          <rPr>
            <b/>
            <sz val="9"/>
            <color indexed="81"/>
            <rFont val="Tahoma"/>
            <family val="2"/>
          </rPr>
          <t>Admin:</t>
        </r>
        <r>
          <rPr>
            <sz val="9"/>
            <color indexed="81"/>
            <rFont val="Tahoma"/>
            <family val="2"/>
          </rPr>
          <t xml:space="preserve">
The number of this product sold in the first month</t>
        </r>
      </text>
    </comment>
    <comment ref="I124" authorId="0" shapeId="0" xr:uid="{00000000-0006-0000-0600-000054000000}">
      <text>
        <r>
          <rPr>
            <b/>
            <sz val="9"/>
            <color indexed="81"/>
            <rFont val="Tahoma"/>
            <family val="2"/>
          </rPr>
          <t>Admin:</t>
        </r>
        <r>
          <rPr>
            <sz val="9"/>
            <color indexed="81"/>
            <rFont val="Tahoma"/>
            <family val="2"/>
          </rPr>
          <t xml:space="preserve">
The number of this product sold in the 2nd month</t>
        </r>
      </text>
    </comment>
    <comment ref="J124" authorId="0" shapeId="0" xr:uid="{00000000-0006-0000-0600-000055000000}">
      <text>
        <r>
          <rPr>
            <b/>
            <sz val="9"/>
            <color indexed="81"/>
            <rFont val="Tahoma"/>
            <family val="2"/>
          </rPr>
          <t>Admin:</t>
        </r>
        <r>
          <rPr>
            <sz val="9"/>
            <color indexed="81"/>
            <rFont val="Tahoma"/>
            <family val="2"/>
          </rPr>
          <t xml:space="preserve">
The number of this product sold in the 3rd month</t>
        </r>
      </text>
    </comment>
    <comment ref="K124" authorId="0" shapeId="0" xr:uid="{00000000-0006-0000-0600-000056000000}">
      <text>
        <r>
          <rPr>
            <b/>
            <sz val="9"/>
            <color indexed="81"/>
            <rFont val="Tahoma"/>
            <family val="2"/>
          </rPr>
          <t>Admin:</t>
        </r>
        <r>
          <rPr>
            <sz val="9"/>
            <color indexed="81"/>
            <rFont val="Tahoma"/>
            <family val="2"/>
          </rPr>
          <t xml:space="preserve">
The number of this product sold in the 4th month</t>
        </r>
      </text>
    </comment>
    <comment ref="L124" authorId="0" shapeId="0" xr:uid="{00000000-0006-0000-0600-000057000000}">
      <text>
        <r>
          <rPr>
            <b/>
            <sz val="9"/>
            <color indexed="81"/>
            <rFont val="Tahoma"/>
            <family val="2"/>
          </rPr>
          <t>Admin:</t>
        </r>
        <r>
          <rPr>
            <sz val="9"/>
            <color indexed="81"/>
            <rFont val="Tahoma"/>
            <family val="2"/>
          </rPr>
          <t xml:space="preserve">
The number of this product sold in the 5th month</t>
        </r>
      </text>
    </comment>
    <comment ref="M124" authorId="0" shapeId="0" xr:uid="{00000000-0006-0000-0600-000058000000}">
      <text>
        <r>
          <rPr>
            <b/>
            <sz val="9"/>
            <color indexed="81"/>
            <rFont val="Tahoma"/>
            <family val="2"/>
          </rPr>
          <t>Admin:</t>
        </r>
        <r>
          <rPr>
            <sz val="9"/>
            <color indexed="81"/>
            <rFont val="Tahoma"/>
            <family val="2"/>
          </rPr>
          <t xml:space="preserve">
The number of this product sold in the 5th month</t>
        </r>
      </text>
    </comment>
    <comment ref="N124" authorId="0" shapeId="0" xr:uid="{00000000-0006-0000-0600-000059000000}">
      <text>
        <r>
          <rPr>
            <b/>
            <sz val="9"/>
            <color indexed="81"/>
            <rFont val="Tahoma"/>
            <family val="2"/>
          </rPr>
          <t>Admin:</t>
        </r>
        <r>
          <rPr>
            <sz val="9"/>
            <color indexed="81"/>
            <rFont val="Tahoma"/>
            <family val="2"/>
          </rPr>
          <t xml:space="preserve">
The number of this product sold in the 5th month</t>
        </r>
      </text>
    </comment>
    <comment ref="O124" authorId="0" shapeId="0" xr:uid="{00000000-0006-0000-0600-00005A000000}">
      <text>
        <r>
          <rPr>
            <b/>
            <sz val="9"/>
            <color indexed="81"/>
            <rFont val="Tahoma"/>
            <family val="2"/>
          </rPr>
          <t>Admin:</t>
        </r>
        <r>
          <rPr>
            <sz val="9"/>
            <color indexed="81"/>
            <rFont val="Tahoma"/>
            <family val="2"/>
          </rPr>
          <t xml:space="preserve">
The number of this product sold in the 5th month</t>
        </r>
      </text>
    </comment>
    <comment ref="P124" authorId="0" shapeId="0" xr:uid="{00000000-0006-0000-0600-00005B000000}">
      <text>
        <r>
          <rPr>
            <b/>
            <sz val="9"/>
            <color indexed="81"/>
            <rFont val="Tahoma"/>
            <family val="2"/>
          </rPr>
          <t>Admin:</t>
        </r>
        <r>
          <rPr>
            <sz val="9"/>
            <color indexed="81"/>
            <rFont val="Tahoma"/>
            <family val="2"/>
          </rPr>
          <t xml:space="preserve">
The number of this product sold in the 5th month</t>
        </r>
      </text>
    </comment>
    <comment ref="Q124" authorId="0" shapeId="0" xr:uid="{00000000-0006-0000-0600-00005C000000}">
      <text>
        <r>
          <rPr>
            <b/>
            <sz val="9"/>
            <color indexed="81"/>
            <rFont val="Tahoma"/>
            <family val="2"/>
          </rPr>
          <t>Admin:</t>
        </r>
        <r>
          <rPr>
            <sz val="9"/>
            <color indexed="81"/>
            <rFont val="Tahoma"/>
            <family val="2"/>
          </rPr>
          <t xml:space="preserve">
The number of this product sold in the 5th month</t>
        </r>
      </text>
    </comment>
    <comment ref="R124" authorId="0" shapeId="0" xr:uid="{00000000-0006-0000-0600-00005D000000}">
      <text>
        <r>
          <rPr>
            <b/>
            <sz val="9"/>
            <color indexed="81"/>
            <rFont val="Tahoma"/>
            <family val="2"/>
          </rPr>
          <t>Admin:</t>
        </r>
        <r>
          <rPr>
            <sz val="9"/>
            <color indexed="81"/>
            <rFont val="Tahoma"/>
            <family val="2"/>
          </rPr>
          <t xml:space="preserve">
The number of this product sold in the 5th month</t>
        </r>
      </text>
    </comment>
    <comment ref="S124" authorId="0" shapeId="0" xr:uid="{00000000-0006-0000-0600-00005E000000}">
      <text>
        <r>
          <rPr>
            <b/>
            <sz val="9"/>
            <color indexed="81"/>
            <rFont val="Tahoma"/>
            <family val="2"/>
          </rPr>
          <t>Admin:</t>
        </r>
        <r>
          <rPr>
            <sz val="9"/>
            <color indexed="81"/>
            <rFont val="Tahoma"/>
            <family val="2"/>
          </rPr>
          <t xml:space="preserve">
The number of this product sold in the 5th month</t>
        </r>
      </text>
    </comment>
    <comment ref="E125" authorId="0" shapeId="0" xr:uid="{00000000-0006-0000-0600-00005F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126" authorId="0" shapeId="0" xr:uid="{00000000-0006-0000-0600-000060000000}">
      <text>
        <r>
          <rPr>
            <b/>
            <sz val="9"/>
            <color indexed="81"/>
            <rFont val="Tahoma"/>
            <family val="2"/>
          </rPr>
          <t>Admin:</t>
        </r>
        <r>
          <rPr>
            <sz val="9"/>
            <color indexed="81"/>
            <rFont val="Tahoma"/>
            <family val="2"/>
          </rPr>
          <t xml:space="preserve">
This is the annualized growth rate divided by 12  and is applied to the previous month</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E6" authorId="0" shapeId="0" xr:uid="{00000000-0006-0000-0700-000001000000}">
      <text>
        <r>
          <rPr>
            <b/>
            <sz val="9"/>
            <color indexed="81"/>
            <rFont val="Tahoma"/>
            <family val="2"/>
          </rPr>
          <t>Admin:</t>
        </r>
        <r>
          <rPr>
            <sz val="9"/>
            <color indexed="81"/>
            <rFont val="Tahoma"/>
            <family val="2"/>
          </rPr>
          <t xml:space="preserve">
Put the gross sales amount for your sieventh 
product here</t>
        </r>
      </text>
    </comment>
    <comment ref="H11" authorId="0" shapeId="0" xr:uid="{00000000-0006-0000-0700-000002000000}">
      <text>
        <r>
          <rPr>
            <b/>
            <sz val="9"/>
            <color indexed="81"/>
            <rFont val="Tahoma"/>
            <family val="2"/>
          </rPr>
          <t>Admin:</t>
        </r>
        <r>
          <rPr>
            <sz val="9"/>
            <color indexed="81"/>
            <rFont val="Tahoma"/>
            <family val="2"/>
          </rPr>
          <t xml:space="preserve">
The number of this product sold in the first month</t>
        </r>
      </text>
    </comment>
    <comment ref="I11" authorId="0" shapeId="0" xr:uid="{00000000-0006-0000-0700-000003000000}">
      <text>
        <r>
          <rPr>
            <b/>
            <sz val="9"/>
            <color indexed="81"/>
            <rFont val="Tahoma"/>
            <family val="2"/>
          </rPr>
          <t>Admin:</t>
        </r>
        <r>
          <rPr>
            <sz val="9"/>
            <color indexed="81"/>
            <rFont val="Tahoma"/>
            <family val="2"/>
          </rPr>
          <t xml:space="preserve">
The number of this product sold in the 2nd month</t>
        </r>
      </text>
    </comment>
    <comment ref="J11" authorId="0" shapeId="0" xr:uid="{00000000-0006-0000-0700-000004000000}">
      <text>
        <r>
          <rPr>
            <b/>
            <sz val="9"/>
            <color indexed="81"/>
            <rFont val="Tahoma"/>
            <family val="2"/>
          </rPr>
          <t>Admin:</t>
        </r>
        <r>
          <rPr>
            <sz val="9"/>
            <color indexed="81"/>
            <rFont val="Tahoma"/>
            <family val="2"/>
          </rPr>
          <t xml:space="preserve">
The number of this product sold in the 3rd month</t>
        </r>
      </text>
    </comment>
    <comment ref="K11" authorId="0" shapeId="0" xr:uid="{00000000-0006-0000-0700-000005000000}">
      <text>
        <r>
          <rPr>
            <b/>
            <sz val="9"/>
            <color indexed="81"/>
            <rFont val="Tahoma"/>
            <family val="2"/>
          </rPr>
          <t>Admin:</t>
        </r>
        <r>
          <rPr>
            <sz val="9"/>
            <color indexed="81"/>
            <rFont val="Tahoma"/>
            <family val="2"/>
          </rPr>
          <t xml:space="preserve">
The number of this product sold in the 4th month</t>
        </r>
      </text>
    </comment>
    <comment ref="L11" authorId="0" shapeId="0" xr:uid="{00000000-0006-0000-0700-000006000000}">
      <text>
        <r>
          <rPr>
            <b/>
            <sz val="9"/>
            <color indexed="81"/>
            <rFont val="Tahoma"/>
            <family val="2"/>
          </rPr>
          <t>Admin:</t>
        </r>
        <r>
          <rPr>
            <sz val="9"/>
            <color indexed="81"/>
            <rFont val="Tahoma"/>
            <family val="2"/>
          </rPr>
          <t xml:space="preserve">
The number of this product sold in the 5th month</t>
        </r>
      </text>
    </comment>
    <comment ref="M11" authorId="0" shapeId="0" xr:uid="{00000000-0006-0000-0700-000007000000}">
      <text>
        <r>
          <rPr>
            <b/>
            <sz val="9"/>
            <color indexed="81"/>
            <rFont val="Tahoma"/>
            <family val="2"/>
          </rPr>
          <t>Admin:</t>
        </r>
        <r>
          <rPr>
            <sz val="9"/>
            <color indexed="81"/>
            <rFont val="Tahoma"/>
            <family val="2"/>
          </rPr>
          <t xml:space="preserve">
The number of this product sold in the 6th month</t>
        </r>
      </text>
    </comment>
    <comment ref="N11" authorId="0" shapeId="0" xr:uid="{00000000-0006-0000-0700-000008000000}">
      <text>
        <r>
          <rPr>
            <b/>
            <sz val="9"/>
            <color indexed="81"/>
            <rFont val="Tahoma"/>
            <family val="2"/>
          </rPr>
          <t>Admin:</t>
        </r>
        <r>
          <rPr>
            <sz val="9"/>
            <color indexed="81"/>
            <rFont val="Tahoma"/>
            <family val="2"/>
          </rPr>
          <t xml:space="preserve">
The number of this product sold in the 7th month</t>
        </r>
      </text>
    </comment>
    <comment ref="O11" authorId="0" shapeId="0" xr:uid="{00000000-0006-0000-0700-000009000000}">
      <text>
        <r>
          <rPr>
            <b/>
            <sz val="9"/>
            <color indexed="81"/>
            <rFont val="Tahoma"/>
            <family val="2"/>
          </rPr>
          <t>Admin:</t>
        </r>
        <r>
          <rPr>
            <sz val="9"/>
            <color indexed="81"/>
            <rFont val="Tahoma"/>
            <family val="2"/>
          </rPr>
          <t xml:space="preserve">
The number of this product sold in the 8th month</t>
        </r>
      </text>
    </comment>
    <comment ref="P11" authorId="0" shapeId="0" xr:uid="{00000000-0006-0000-0700-00000A000000}">
      <text>
        <r>
          <rPr>
            <b/>
            <sz val="9"/>
            <color indexed="81"/>
            <rFont val="Tahoma"/>
            <family val="2"/>
          </rPr>
          <t>Admin:</t>
        </r>
        <r>
          <rPr>
            <sz val="9"/>
            <color indexed="81"/>
            <rFont val="Tahoma"/>
            <family val="2"/>
          </rPr>
          <t xml:space="preserve">
The number of this product sold in the 9th month</t>
        </r>
      </text>
    </comment>
    <comment ref="Q11" authorId="0" shapeId="0" xr:uid="{00000000-0006-0000-0700-00000B000000}">
      <text>
        <r>
          <rPr>
            <b/>
            <sz val="9"/>
            <color indexed="81"/>
            <rFont val="Tahoma"/>
            <family val="2"/>
          </rPr>
          <t>Admin:</t>
        </r>
        <r>
          <rPr>
            <sz val="9"/>
            <color indexed="81"/>
            <rFont val="Tahoma"/>
            <family val="2"/>
          </rPr>
          <t xml:space="preserve">
The number of this product sold in the 10th month</t>
        </r>
      </text>
    </comment>
    <comment ref="R11" authorId="0" shapeId="0" xr:uid="{00000000-0006-0000-0700-00000C000000}">
      <text>
        <r>
          <rPr>
            <b/>
            <sz val="9"/>
            <color indexed="81"/>
            <rFont val="Tahoma"/>
            <family val="2"/>
          </rPr>
          <t>Admin:</t>
        </r>
        <r>
          <rPr>
            <sz val="9"/>
            <color indexed="81"/>
            <rFont val="Tahoma"/>
            <family val="2"/>
          </rPr>
          <t xml:space="preserve">
The number of this product sold in the 11th month</t>
        </r>
      </text>
    </comment>
    <comment ref="S11" authorId="0" shapeId="0" xr:uid="{00000000-0006-0000-0700-00000D000000}">
      <text>
        <r>
          <rPr>
            <b/>
            <sz val="9"/>
            <color indexed="81"/>
            <rFont val="Tahoma"/>
            <family val="2"/>
          </rPr>
          <t>Admin:</t>
        </r>
        <r>
          <rPr>
            <sz val="9"/>
            <color indexed="81"/>
            <rFont val="Tahoma"/>
            <family val="2"/>
          </rPr>
          <t xml:space="preserve">
The number of this product sold in the 12th month</t>
        </r>
      </text>
    </comment>
    <comment ref="E12" authorId="0" shapeId="0" xr:uid="{00000000-0006-0000-0700-00000E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13" authorId="0" shapeId="0" xr:uid="{00000000-0006-0000-0700-00000F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27" authorId="0" shapeId="0" xr:uid="{00000000-0006-0000-0700-000010000000}">
      <text>
        <r>
          <rPr>
            <b/>
            <sz val="9"/>
            <color indexed="81"/>
            <rFont val="Tahoma"/>
            <family val="2"/>
          </rPr>
          <t>Admin:</t>
        </r>
        <r>
          <rPr>
            <sz val="9"/>
            <color indexed="81"/>
            <rFont val="Tahoma"/>
            <family val="2"/>
          </rPr>
          <t xml:space="preserve">
Put the gross sales amount for your sixth product here</t>
        </r>
      </text>
    </comment>
    <comment ref="H32" authorId="0" shapeId="0" xr:uid="{00000000-0006-0000-0700-000011000000}">
      <text>
        <r>
          <rPr>
            <b/>
            <sz val="9"/>
            <color indexed="81"/>
            <rFont val="Tahoma"/>
            <family val="2"/>
          </rPr>
          <t>Admin:</t>
        </r>
        <r>
          <rPr>
            <sz val="9"/>
            <color indexed="81"/>
            <rFont val="Tahoma"/>
            <family val="2"/>
          </rPr>
          <t xml:space="preserve">
The number of this product sold in the first month</t>
        </r>
      </text>
    </comment>
    <comment ref="I32" authorId="0" shapeId="0" xr:uid="{00000000-0006-0000-0700-000012000000}">
      <text>
        <r>
          <rPr>
            <b/>
            <sz val="9"/>
            <color indexed="81"/>
            <rFont val="Tahoma"/>
            <family val="2"/>
          </rPr>
          <t>Admin:</t>
        </r>
        <r>
          <rPr>
            <sz val="9"/>
            <color indexed="81"/>
            <rFont val="Tahoma"/>
            <family val="2"/>
          </rPr>
          <t xml:space="preserve">
The number of this product sold in the 2nd month</t>
        </r>
      </text>
    </comment>
    <comment ref="J32" authorId="0" shapeId="0" xr:uid="{00000000-0006-0000-0700-000013000000}">
      <text>
        <r>
          <rPr>
            <b/>
            <sz val="9"/>
            <color indexed="81"/>
            <rFont val="Tahoma"/>
            <family val="2"/>
          </rPr>
          <t>Admin:</t>
        </r>
        <r>
          <rPr>
            <sz val="9"/>
            <color indexed="81"/>
            <rFont val="Tahoma"/>
            <family val="2"/>
          </rPr>
          <t xml:space="preserve">
The number of this product sold in the 3rd month</t>
        </r>
      </text>
    </comment>
    <comment ref="K32" authorId="0" shapeId="0" xr:uid="{00000000-0006-0000-0700-000014000000}">
      <text>
        <r>
          <rPr>
            <b/>
            <sz val="9"/>
            <color indexed="81"/>
            <rFont val="Tahoma"/>
            <family val="2"/>
          </rPr>
          <t>Admin:</t>
        </r>
        <r>
          <rPr>
            <sz val="9"/>
            <color indexed="81"/>
            <rFont val="Tahoma"/>
            <family val="2"/>
          </rPr>
          <t xml:space="preserve">
The number of this product sold in the 4th month</t>
        </r>
      </text>
    </comment>
    <comment ref="L32" authorId="0" shapeId="0" xr:uid="{00000000-0006-0000-0700-000015000000}">
      <text>
        <r>
          <rPr>
            <b/>
            <sz val="9"/>
            <color indexed="81"/>
            <rFont val="Tahoma"/>
            <family val="2"/>
          </rPr>
          <t>Admin:</t>
        </r>
        <r>
          <rPr>
            <sz val="9"/>
            <color indexed="81"/>
            <rFont val="Tahoma"/>
            <family val="2"/>
          </rPr>
          <t xml:space="preserve">
The number of this product sold in the 5th month</t>
        </r>
      </text>
    </comment>
    <comment ref="M32" authorId="0" shapeId="0" xr:uid="{00000000-0006-0000-0700-000016000000}">
      <text>
        <r>
          <rPr>
            <b/>
            <sz val="9"/>
            <color indexed="81"/>
            <rFont val="Tahoma"/>
            <family val="2"/>
          </rPr>
          <t>Admin:</t>
        </r>
        <r>
          <rPr>
            <sz val="9"/>
            <color indexed="81"/>
            <rFont val="Tahoma"/>
            <family val="2"/>
          </rPr>
          <t xml:space="preserve">
The number of this product sold in the 6th month</t>
        </r>
      </text>
    </comment>
    <comment ref="N32" authorId="0" shapeId="0" xr:uid="{00000000-0006-0000-0700-000017000000}">
      <text>
        <r>
          <rPr>
            <b/>
            <sz val="9"/>
            <color indexed="81"/>
            <rFont val="Tahoma"/>
            <family val="2"/>
          </rPr>
          <t>Admin:</t>
        </r>
        <r>
          <rPr>
            <sz val="9"/>
            <color indexed="81"/>
            <rFont val="Tahoma"/>
            <family val="2"/>
          </rPr>
          <t xml:space="preserve">
The number of this product sold in the 7th month</t>
        </r>
      </text>
    </comment>
    <comment ref="O32" authorId="0" shapeId="0" xr:uid="{00000000-0006-0000-0700-000018000000}">
      <text>
        <r>
          <rPr>
            <b/>
            <sz val="9"/>
            <color indexed="81"/>
            <rFont val="Tahoma"/>
            <family val="2"/>
          </rPr>
          <t>Admin:</t>
        </r>
        <r>
          <rPr>
            <sz val="9"/>
            <color indexed="81"/>
            <rFont val="Tahoma"/>
            <family val="2"/>
          </rPr>
          <t xml:space="preserve">
The number of this product sold in the 8th month</t>
        </r>
      </text>
    </comment>
    <comment ref="P32" authorId="0" shapeId="0" xr:uid="{00000000-0006-0000-0700-000019000000}">
      <text>
        <r>
          <rPr>
            <b/>
            <sz val="9"/>
            <color indexed="81"/>
            <rFont val="Tahoma"/>
            <family val="2"/>
          </rPr>
          <t>Admin:</t>
        </r>
        <r>
          <rPr>
            <sz val="9"/>
            <color indexed="81"/>
            <rFont val="Tahoma"/>
            <family val="2"/>
          </rPr>
          <t xml:space="preserve">
The number of this product sold in the 9th month</t>
        </r>
      </text>
    </comment>
    <comment ref="Q32" authorId="0" shapeId="0" xr:uid="{00000000-0006-0000-0700-00001A000000}">
      <text>
        <r>
          <rPr>
            <b/>
            <sz val="9"/>
            <color indexed="81"/>
            <rFont val="Tahoma"/>
            <family val="2"/>
          </rPr>
          <t>Admin:</t>
        </r>
        <r>
          <rPr>
            <sz val="9"/>
            <color indexed="81"/>
            <rFont val="Tahoma"/>
            <family val="2"/>
          </rPr>
          <t xml:space="preserve">
The number of this product sold in the 10th month</t>
        </r>
      </text>
    </comment>
    <comment ref="R32" authorId="0" shapeId="0" xr:uid="{00000000-0006-0000-0700-00001B000000}">
      <text>
        <r>
          <rPr>
            <b/>
            <sz val="9"/>
            <color indexed="81"/>
            <rFont val="Tahoma"/>
            <family val="2"/>
          </rPr>
          <t>Admin:</t>
        </r>
        <r>
          <rPr>
            <sz val="9"/>
            <color indexed="81"/>
            <rFont val="Tahoma"/>
            <family val="2"/>
          </rPr>
          <t xml:space="preserve">
The number of this product sold in the 11th month</t>
        </r>
      </text>
    </comment>
    <comment ref="S32" authorId="0" shapeId="0" xr:uid="{00000000-0006-0000-0700-00001C000000}">
      <text>
        <r>
          <rPr>
            <b/>
            <sz val="9"/>
            <color indexed="81"/>
            <rFont val="Tahoma"/>
            <family val="2"/>
          </rPr>
          <t>Admin:</t>
        </r>
        <r>
          <rPr>
            <sz val="9"/>
            <color indexed="81"/>
            <rFont val="Tahoma"/>
            <family val="2"/>
          </rPr>
          <t xml:space="preserve">
The number of this product sold in the 12th month</t>
        </r>
      </text>
    </comment>
    <comment ref="E33" authorId="0" shapeId="0" xr:uid="{00000000-0006-0000-0700-00001D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34" authorId="0" shapeId="0" xr:uid="{00000000-0006-0000-0700-00001E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48" authorId="0" shapeId="0" xr:uid="{00000000-0006-0000-0700-00001F000000}">
      <text>
        <r>
          <rPr>
            <b/>
            <sz val="9"/>
            <color indexed="81"/>
            <rFont val="Tahoma"/>
            <family val="2"/>
          </rPr>
          <t>Admin:</t>
        </r>
        <r>
          <rPr>
            <sz val="9"/>
            <color indexed="81"/>
            <rFont val="Tahoma"/>
            <family val="2"/>
          </rPr>
          <t xml:space="preserve">
Put the gross sales amount for your sixth product here</t>
        </r>
      </text>
    </comment>
    <comment ref="H53" authorId="0" shapeId="0" xr:uid="{00000000-0006-0000-0700-000020000000}">
      <text>
        <r>
          <rPr>
            <b/>
            <sz val="9"/>
            <color indexed="81"/>
            <rFont val="Tahoma"/>
            <family val="2"/>
          </rPr>
          <t>Admin:</t>
        </r>
        <r>
          <rPr>
            <sz val="9"/>
            <color indexed="81"/>
            <rFont val="Tahoma"/>
            <family val="2"/>
          </rPr>
          <t xml:space="preserve">
The number of this product sold in the first month</t>
        </r>
      </text>
    </comment>
    <comment ref="I53" authorId="0" shapeId="0" xr:uid="{00000000-0006-0000-0700-000021000000}">
      <text>
        <r>
          <rPr>
            <b/>
            <sz val="9"/>
            <color indexed="81"/>
            <rFont val="Tahoma"/>
            <family val="2"/>
          </rPr>
          <t>Admin:</t>
        </r>
        <r>
          <rPr>
            <sz val="9"/>
            <color indexed="81"/>
            <rFont val="Tahoma"/>
            <family val="2"/>
          </rPr>
          <t xml:space="preserve">
The number of this product sold in the 2nd month</t>
        </r>
      </text>
    </comment>
    <comment ref="J53" authorId="0" shapeId="0" xr:uid="{00000000-0006-0000-0700-000022000000}">
      <text>
        <r>
          <rPr>
            <b/>
            <sz val="9"/>
            <color indexed="81"/>
            <rFont val="Tahoma"/>
            <family val="2"/>
          </rPr>
          <t>Admin:</t>
        </r>
        <r>
          <rPr>
            <sz val="9"/>
            <color indexed="81"/>
            <rFont val="Tahoma"/>
            <family val="2"/>
          </rPr>
          <t xml:space="preserve">
The number of this product sold in the 3rd month</t>
        </r>
      </text>
    </comment>
    <comment ref="K53" authorId="0" shapeId="0" xr:uid="{00000000-0006-0000-0700-000023000000}">
      <text>
        <r>
          <rPr>
            <b/>
            <sz val="9"/>
            <color indexed="81"/>
            <rFont val="Tahoma"/>
            <family val="2"/>
          </rPr>
          <t>Admin:</t>
        </r>
        <r>
          <rPr>
            <sz val="9"/>
            <color indexed="81"/>
            <rFont val="Tahoma"/>
            <family val="2"/>
          </rPr>
          <t xml:space="preserve">
The number of this product sold in the 4th month</t>
        </r>
      </text>
    </comment>
    <comment ref="L53" authorId="0" shapeId="0" xr:uid="{00000000-0006-0000-0700-000024000000}">
      <text>
        <r>
          <rPr>
            <b/>
            <sz val="9"/>
            <color indexed="81"/>
            <rFont val="Tahoma"/>
            <family val="2"/>
          </rPr>
          <t>Admin:</t>
        </r>
        <r>
          <rPr>
            <sz val="9"/>
            <color indexed="81"/>
            <rFont val="Tahoma"/>
            <family val="2"/>
          </rPr>
          <t xml:space="preserve">
The number of this product sold in the 5th month</t>
        </r>
      </text>
    </comment>
    <comment ref="M53" authorId="0" shapeId="0" xr:uid="{00000000-0006-0000-0700-000025000000}">
      <text>
        <r>
          <rPr>
            <b/>
            <sz val="9"/>
            <color indexed="81"/>
            <rFont val="Tahoma"/>
            <family val="2"/>
          </rPr>
          <t>Admin:</t>
        </r>
        <r>
          <rPr>
            <sz val="9"/>
            <color indexed="81"/>
            <rFont val="Tahoma"/>
            <family val="2"/>
          </rPr>
          <t xml:space="preserve">
The number of this product sold in the 6th month</t>
        </r>
      </text>
    </comment>
    <comment ref="N53" authorId="0" shapeId="0" xr:uid="{00000000-0006-0000-0700-000026000000}">
      <text>
        <r>
          <rPr>
            <b/>
            <sz val="9"/>
            <color indexed="81"/>
            <rFont val="Tahoma"/>
            <family val="2"/>
          </rPr>
          <t>Admin:</t>
        </r>
        <r>
          <rPr>
            <sz val="9"/>
            <color indexed="81"/>
            <rFont val="Tahoma"/>
            <family val="2"/>
          </rPr>
          <t xml:space="preserve">
The number of this product sold in the 7th month</t>
        </r>
      </text>
    </comment>
    <comment ref="O53" authorId="0" shapeId="0" xr:uid="{00000000-0006-0000-0700-000027000000}">
      <text>
        <r>
          <rPr>
            <b/>
            <sz val="9"/>
            <color indexed="81"/>
            <rFont val="Tahoma"/>
            <family val="2"/>
          </rPr>
          <t>Admin:</t>
        </r>
        <r>
          <rPr>
            <sz val="9"/>
            <color indexed="81"/>
            <rFont val="Tahoma"/>
            <family val="2"/>
          </rPr>
          <t xml:space="preserve">
The number of this product sold in the 8th month</t>
        </r>
      </text>
    </comment>
    <comment ref="P53" authorId="0" shapeId="0" xr:uid="{00000000-0006-0000-0700-000028000000}">
      <text>
        <r>
          <rPr>
            <b/>
            <sz val="9"/>
            <color indexed="81"/>
            <rFont val="Tahoma"/>
            <family val="2"/>
          </rPr>
          <t>Admin:</t>
        </r>
        <r>
          <rPr>
            <sz val="9"/>
            <color indexed="81"/>
            <rFont val="Tahoma"/>
            <family val="2"/>
          </rPr>
          <t xml:space="preserve">
The number of this product sold in the 9th month</t>
        </r>
      </text>
    </comment>
    <comment ref="Q53" authorId="0" shapeId="0" xr:uid="{00000000-0006-0000-0700-000029000000}">
      <text>
        <r>
          <rPr>
            <b/>
            <sz val="9"/>
            <color indexed="81"/>
            <rFont val="Tahoma"/>
            <family val="2"/>
          </rPr>
          <t>Admin:</t>
        </r>
        <r>
          <rPr>
            <sz val="9"/>
            <color indexed="81"/>
            <rFont val="Tahoma"/>
            <family val="2"/>
          </rPr>
          <t xml:space="preserve">
The number of this product sold in the 10th month</t>
        </r>
      </text>
    </comment>
    <comment ref="R53" authorId="0" shapeId="0" xr:uid="{00000000-0006-0000-0700-00002A000000}">
      <text>
        <r>
          <rPr>
            <b/>
            <sz val="9"/>
            <color indexed="81"/>
            <rFont val="Tahoma"/>
            <family val="2"/>
          </rPr>
          <t>Admin:</t>
        </r>
        <r>
          <rPr>
            <sz val="9"/>
            <color indexed="81"/>
            <rFont val="Tahoma"/>
            <family val="2"/>
          </rPr>
          <t xml:space="preserve">
The number of this product sold in the 11th month</t>
        </r>
      </text>
    </comment>
    <comment ref="S53" authorId="0" shapeId="0" xr:uid="{00000000-0006-0000-0700-00002B000000}">
      <text>
        <r>
          <rPr>
            <b/>
            <sz val="9"/>
            <color indexed="81"/>
            <rFont val="Tahoma"/>
            <family val="2"/>
          </rPr>
          <t>Admin:</t>
        </r>
        <r>
          <rPr>
            <sz val="9"/>
            <color indexed="81"/>
            <rFont val="Tahoma"/>
            <family val="2"/>
          </rPr>
          <t xml:space="preserve">
The number of this product sold in the 12th month</t>
        </r>
      </text>
    </comment>
    <comment ref="E54" authorId="0" shapeId="0" xr:uid="{00000000-0006-0000-0700-00002C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55" authorId="0" shapeId="0" xr:uid="{00000000-0006-0000-0700-00002D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69" authorId="0" shapeId="0" xr:uid="{00000000-0006-0000-0700-00002E000000}">
      <text>
        <r>
          <rPr>
            <b/>
            <sz val="9"/>
            <color indexed="81"/>
            <rFont val="Tahoma"/>
            <family val="2"/>
          </rPr>
          <t>Admin:</t>
        </r>
        <r>
          <rPr>
            <sz val="9"/>
            <color indexed="81"/>
            <rFont val="Tahoma"/>
            <family val="2"/>
          </rPr>
          <t xml:space="preserve">
Put the gross sales amount for your sixth product here</t>
        </r>
      </text>
    </comment>
    <comment ref="H74" authorId="0" shapeId="0" xr:uid="{00000000-0006-0000-0700-00002F000000}">
      <text>
        <r>
          <rPr>
            <b/>
            <sz val="9"/>
            <color indexed="81"/>
            <rFont val="Tahoma"/>
            <family val="2"/>
          </rPr>
          <t>Admin:</t>
        </r>
        <r>
          <rPr>
            <sz val="9"/>
            <color indexed="81"/>
            <rFont val="Tahoma"/>
            <family val="2"/>
          </rPr>
          <t xml:space="preserve">
The number of this product sold in the first month</t>
        </r>
      </text>
    </comment>
    <comment ref="I74" authorId="0" shapeId="0" xr:uid="{00000000-0006-0000-0700-000030000000}">
      <text>
        <r>
          <rPr>
            <b/>
            <sz val="9"/>
            <color indexed="81"/>
            <rFont val="Tahoma"/>
            <family val="2"/>
          </rPr>
          <t>Admin:</t>
        </r>
        <r>
          <rPr>
            <sz val="9"/>
            <color indexed="81"/>
            <rFont val="Tahoma"/>
            <family val="2"/>
          </rPr>
          <t xml:space="preserve">
The number of this product sold in the 2nd month</t>
        </r>
      </text>
    </comment>
    <comment ref="J74" authorId="0" shapeId="0" xr:uid="{00000000-0006-0000-0700-000031000000}">
      <text>
        <r>
          <rPr>
            <b/>
            <sz val="9"/>
            <color indexed="81"/>
            <rFont val="Tahoma"/>
            <family val="2"/>
          </rPr>
          <t>Admin:</t>
        </r>
        <r>
          <rPr>
            <sz val="9"/>
            <color indexed="81"/>
            <rFont val="Tahoma"/>
            <family val="2"/>
          </rPr>
          <t xml:space="preserve">
The number of this product sold in the 3rd month</t>
        </r>
      </text>
    </comment>
    <comment ref="K74" authorId="0" shapeId="0" xr:uid="{00000000-0006-0000-0700-000032000000}">
      <text>
        <r>
          <rPr>
            <b/>
            <sz val="9"/>
            <color indexed="81"/>
            <rFont val="Tahoma"/>
            <family val="2"/>
          </rPr>
          <t>Admin:</t>
        </r>
        <r>
          <rPr>
            <sz val="9"/>
            <color indexed="81"/>
            <rFont val="Tahoma"/>
            <family val="2"/>
          </rPr>
          <t xml:space="preserve">
The number of this product sold in the 4th month</t>
        </r>
      </text>
    </comment>
    <comment ref="L74" authorId="0" shapeId="0" xr:uid="{00000000-0006-0000-0700-000033000000}">
      <text>
        <r>
          <rPr>
            <b/>
            <sz val="9"/>
            <color indexed="81"/>
            <rFont val="Tahoma"/>
            <family val="2"/>
          </rPr>
          <t>Admin:</t>
        </r>
        <r>
          <rPr>
            <sz val="9"/>
            <color indexed="81"/>
            <rFont val="Tahoma"/>
            <family val="2"/>
          </rPr>
          <t xml:space="preserve">
The number of this product sold in the 5th month</t>
        </r>
      </text>
    </comment>
    <comment ref="M74" authorId="0" shapeId="0" xr:uid="{00000000-0006-0000-0700-000034000000}">
      <text>
        <r>
          <rPr>
            <b/>
            <sz val="9"/>
            <color indexed="81"/>
            <rFont val="Tahoma"/>
            <family val="2"/>
          </rPr>
          <t>Admin:</t>
        </r>
        <r>
          <rPr>
            <sz val="9"/>
            <color indexed="81"/>
            <rFont val="Tahoma"/>
            <family val="2"/>
          </rPr>
          <t xml:space="preserve">
The number of this product sold in the 6th month</t>
        </r>
      </text>
    </comment>
    <comment ref="N74" authorId="0" shapeId="0" xr:uid="{00000000-0006-0000-0700-000035000000}">
      <text>
        <r>
          <rPr>
            <b/>
            <sz val="9"/>
            <color indexed="81"/>
            <rFont val="Tahoma"/>
            <family val="2"/>
          </rPr>
          <t>Admin:</t>
        </r>
        <r>
          <rPr>
            <sz val="9"/>
            <color indexed="81"/>
            <rFont val="Tahoma"/>
            <family val="2"/>
          </rPr>
          <t xml:space="preserve">
The number of this product sold in the 7th month</t>
        </r>
      </text>
    </comment>
    <comment ref="O74" authorId="0" shapeId="0" xr:uid="{00000000-0006-0000-0700-000036000000}">
      <text>
        <r>
          <rPr>
            <b/>
            <sz val="9"/>
            <color indexed="81"/>
            <rFont val="Tahoma"/>
            <family val="2"/>
          </rPr>
          <t>Admin:</t>
        </r>
        <r>
          <rPr>
            <sz val="9"/>
            <color indexed="81"/>
            <rFont val="Tahoma"/>
            <family val="2"/>
          </rPr>
          <t xml:space="preserve">
The number of this product sold in the 8th month</t>
        </r>
      </text>
    </comment>
    <comment ref="P74" authorId="0" shapeId="0" xr:uid="{00000000-0006-0000-0700-000037000000}">
      <text>
        <r>
          <rPr>
            <b/>
            <sz val="9"/>
            <color indexed="81"/>
            <rFont val="Tahoma"/>
            <family val="2"/>
          </rPr>
          <t>Admin:</t>
        </r>
        <r>
          <rPr>
            <sz val="9"/>
            <color indexed="81"/>
            <rFont val="Tahoma"/>
            <family val="2"/>
          </rPr>
          <t xml:space="preserve">
The number of this product sold in the 9th month</t>
        </r>
      </text>
    </comment>
    <comment ref="Q74" authorId="0" shapeId="0" xr:uid="{00000000-0006-0000-0700-000038000000}">
      <text>
        <r>
          <rPr>
            <b/>
            <sz val="9"/>
            <color indexed="81"/>
            <rFont val="Tahoma"/>
            <family val="2"/>
          </rPr>
          <t>Admin:</t>
        </r>
        <r>
          <rPr>
            <sz val="9"/>
            <color indexed="81"/>
            <rFont val="Tahoma"/>
            <family val="2"/>
          </rPr>
          <t xml:space="preserve">
The number of this product sold in the 10th month</t>
        </r>
      </text>
    </comment>
    <comment ref="R74" authorId="0" shapeId="0" xr:uid="{00000000-0006-0000-0700-000039000000}">
      <text>
        <r>
          <rPr>
            <b/>
            <sz val="9"/>
            <color indexed="81"/>
            <rFont val="Tahoma"/>
            <family val="2"/>
          </rPr>
          <t>Admin:</t>
        </r>
        <r>
          <rPr>
            <sz val="9"/>
            <color indexed="81"/>
            <rFont val="Tahoma"/>
            <family val="2"/>
          </rPr>
          <t xml:space="preserve">
The number of this product sold in the 11th month</t>
        </r>
      </text>
    </comment>
    <comment ref="S74" authorId="0" shapeId="0" xr:uid="{00000000-0006-0000-0700-00003A000000}">
      <text>
        <r>
          <rPr>
            <b/>
            <sz val="9"/>
            <color indexed="81"/>
            <rFont val="Tahoma"/>
            <family val="2"/>
          </rPr>
          <t>Admin:</t>
        </r>
        <r>
          <rPr>
            <sz val="9"/>
            <color indexed="81"/>
            <rFont val="Tahoma"/>
            <family val="2"/>
          </rPr>
          <t xml:space="preserve">
The number of this product sold in the 12th month</t>
        </r>
      </text>
    </comment>
    <comment ref="E75" authorId="0" shapeId="0" xr:uid="{00000000-0006-0000-0700-00003B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76" authorId="0" shapeId="0" xr:uid="{00000000-0006-0000-0700-00003C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90" authorId="0" shapeId="0" xr:uid="{00000000-0006-0000-0700-00003D000000}">
      <text>
        <r>
          <rPr>
            <b/>
            <sz val="9"/>
            <color indexed="81"/>
            <rFont val="Tahoma"/>
            <family val="2"/>
          </rPr>
          <t>Admin:</t>
        </r>
        <r>
          <rPr>
            <sz val="9"/>
            <color indexed="81"/>
            <rFont val="Tahoma"/>
            <family val="2"/>
          </rPr>
          <t xml:space="preserve">
Put the gross sales amount for your sixth product here</t>
        </r>
      </text>
    </comment>
    <comment ref="H95" authorId="0" shapeId="0" xr:uid="{00000000-0006-0000-0700-00003E000000}">
      <text>
        <r>
          <rPr>
            <b/>
            <sz val="9"/>
            <color indexed="81"/>
            <rFont val="Tahoma"/>
            <family val="2"/>
          </rPr>
          <t>Admin:</t>
        </r>
        <r>
          <rPr>
            <sz val="9"/>
            <color indexed="81"/>
            <rFont val="Tahoma"/>
            <family val="2"/>
          </rPr>
          <t xml:space="preserve">
The number of this product sold in the first month</t>
        </r>
      </text>
    </comment>
    <comment ref="I95" authorId="0" shapeId="0" xr:uid="{00000000-0006-0000-0700-00003F000000}">
      <text>
        <r>
          <rPr>
            <b/>
            <sz val="9"/>
            <color indexed="81"/>
            <rFont val="Tahoma"/>
            <family val="2"/>
          </rPr>
          <t>Admin:</t>
        </r>
        <r>
          <rPr>
            <sz val="9"/>
            <color indexed="81"/>
            <rFont val="Tahoma"/>
            <family val="2"/>
          </rPr>
          <t xml:space="preserve">
The number of this product sold in the 2nd month</t>
        </r>
      </text>
    </comment>
    <comment ref="J95" authorId="0" shapeId="0" xr:uid="{00000000-0006-0000-0700-000040000000}">
      <text>
        <r>
          <rPr>
            <b/>
            <sz val="9"/>
            <color indexed="81"/>
            <rFont val="Tahoma"/>
            <family val="2"/>
          </rPr>
          <t>Admin:</t>
        </r>
        <r>
          <rPr>
            <sz val="9"/>
            <color indexed="81"/>
            <rFont val="Tahoma"/>
            <family val="2"/>
          </rPr>
          <t xml:space="preserve">
The number of this product sold in the 3rd month</t>
        </r>
      </text>
    </comment>
    <comment ref="K95" authorId="0" shapeId="0" xr:uid="{00000000-0006-0000-0700-000041000000}">
      <text>
        <r>
          <rPr>
            <b/>
            <sz val="9"/>
            <color indexed="81"/>
            <rFont val="Tahoma"/>
            <family val="2"/>
          </rPr>
          <t>Admin:</t>
        </r>
        <r>
          <rPr>
            <sz val="9"/>
            <color indexed="81"/>
            <rFont val="Tahoma"/>
            <family val="2"/>
          </rPr>
          <t xml:space="preserve">
The number of this product sold in the 4th month</t>
        </r>
      </text>
    </comment>
    <comment ref="L95" authorId="0" shapeId="0" xr:uid="{00000000-0006-0000-0700-000042000000}">
      <text>
        <r>
          <rPr>
            <b/>
            <sz val="9"/>
            <color indexed="81"/>
            <rFont val="Tahoma"/>
            <family val="2"/>
          </rPr>
          <t>Admin:</t>
        </r>
        <r>
          <rPr>
            <sz val="9"/>
            <color indexed="81"/>
            <rFont val="Tahoma"/>
            <family val="2"/>
          </rPr>
          <t xml:space="preserve">
The number of this product sold in the 5th month</t>
        </r>
      </text>
    </comment>
    <comment ref="M95" authorId="0" shapeId="0" xr:uid="{00000000-0006-0000-0700-000043000000}">
      <text>
        <r>
          <rPr>
            <b/>
            <sz val="9"/>
            <color indexed="81"/>
            <rFont val="Tahoma"/>
            <family val="2"/>
          </rPr>
          <t>Admin:</t>
        </r>
        <r>
          <rPr>
            <sz val="9"/>
            <color indexed="81"/>
            <rFont val="Tahoma"/>
            <family val="2"/>
          </rPr>
          <t xml:space="preserve">
The number of this product sold in the 6th month</t>
        </r>
      </text>
    </comment>
    <comment ref="N95" authorId="0" shapeId="0" xr:uid="{00000000-0006-0000-0700-000044000000}">
      <text>
        <r>
          <rPr>
            <b/>
            <sz val="9"/>
            <color indexed="81"/>
            <rFont val="Tahoma"/>
            <family val="2"/>
          </rPr>
          <t>Admin:</t>
        </r>
        <r>
          <rPr>
            <sz val="9"/>
            <color indexed="81"/>
            <rFont val="Tahoma"/>
            <family val="2"/>
          </rPr>
          <t xml:space="preserve">
The number of this product sold in the 7th month</t>
        </r>
      </text>
    </comment>
    <comment ref="O95" authorId="0" shapeId="0" xr:uid="{00000000-0006-0000-0700-000045000000}">
      <text>
        <r>
          <rPr>
            <b/>
            <sz val="9"/>
            <color indexed="81"/>
            <rFont val="Tahoma"/>
            <family val="2"/>
          </rPr>
          <t>Admin:</t>
        </r>
        <r>
          <rPr>
            <sz val="9"/>
            <color indexed="81"/>
            <rFont val="Tahoma"/>
            <family val="2"/>
          </rPr>
          <t xml:space="preserve">
The number of this product sold in the 8th month</t>
        </r>
      </text>
    </comment>
    <comment ref="P95" authorId="0" shapeId="0" xr:uid="{00000000-0006-0000-0700-000046000000}">
      <text>
        <r>
          <rPr>
            <b/>
            <sz val="9"/>
            <color indexed="81"/>
            <rFont val="Tahoma"/>
            <family val="2"/>
          </rPr>
          <t>Admin:</t>
        </r>
        <r>
          <rPr>
            <sz val="9"/>
            <color indexed="81"/>
            <rFont val="Tahoma"/>
            <family val="2"/>
          </rPr>
          <t xml:space="preserve">
The number of this product sold in the 9th month</t>
        </r>
      </text>
    </comment>
    <comment ref="Q95" authorId="0" shapeId="0" xr:uid="{00000000-0006-0000-0700-000047000000}">
      <text>
        <r>
          <rPr>
            <b/>
            <sz val="9"/>
            <color indexed="81"/>
            <rFont val="Tahoma"/>
            <family val="2"/>
          </rPr>
          <t>Admin:</t>
        </r>
        <r>
          <rPr>
            <sz val="9"/>
            <color indexed="81"/>
            <rFont val="Tahoma"/>
            <family val="2"/>
          </rPr>
          <t xml:space="preserve">
The number of this product sold in the 10th month</t>
        </r>
      </text>
    </comment>
    <comment ref="R95" authorId="0" shapeId="0" xr:uid="{00000000-0006-0000-0700-000048000000}">
      <text>
        <r>
          <rPr>
            <b/>
            <sz val="9"/>
            <color indexed="81"/>
            <rFont val="Tahoma"/>
            <family val="2"/>
          </rPr>
          <t>Admin:</t>
        </r>
        <r>
          <rPr>
            <sz val="9"/>
            <color indexed="81"/>
            <rFont val="Tahoma"/>
            <family val="2"/>
          </rPr>
          <t xml:space="preserve">
The number of this product sold in the 11th month</t>
        </r>
      </text>
    </comment>
    <comment ref="S95" authorId="0" shapeId="0" xr:uid="{00000000-0006-0000-0700-000049000000}">
      <text>
        <r>
          <rPr>
            <b/>
            <sz val="9"/>
            <color indexed="81"/>
            <rFont val="Tahoma"/>
            <family val="2"/>
          </rPr>
          <t>Admin:</t>
        </r>
        <r>
          <rPr>
            <sz val="9"/>
            <color indexed="81"/>
            <rFont val="Tahoma"/>
            <family val="2"/>
          </rPr>
          <t xml:space="preserve">
The number of this product sold in the 12th month</t>
        </r>
      </text>
    </comment>
    <comment ref="E96" authorId="0" shapeId="0" xr:uid="{00000000-0006-0000-0700-00004A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97" authorId="0" shapeId="0" xr:uid="{00000000-0006-0000-0700-00004B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111" authorId="0" shapeId="0" xr:uid="{00000000-0006-0000-0700-00004C000000}">
      <text>
        <r>
          <rPr>
            <b/>
            <sz val="9"/>
            <color indexed="81"/>
            <rFont val="Tahoma"/>
            <family val="2"/>
          </rPr>
          <t>Admin:</t>
        </r>
        <r>
          <rPr>
            <sz val="9"/>
            <color indexed="81"/>
            <rFont val="Tahoma"/>
            <family val="2"/>
          </rPr>
          <t xml:space="preserve">
Put the gross sales amount for your sixth product here</t>
        </r>
      </text>
    </comment>
    <comment ref="H116" authorId="0" shapeId="0" xr:uid="{00000000-0006-0000-0700-00004D000000}">
      <text>
        <r>
          <rPr>
            <b/>
            <sz val="9"/>
            <color indexed="81"/>
            <rFont val="Tahoma"/>
            <family val="2"/>
          </rPr>
          <t>Admin:</t>
        </r>
        <r>
          <rPr>
            <sz val="9"/>
            <color indexed="81"/>
            <rFont val="Tahoma"/>
            <family val="2"/>
          </rPr>
          <t xml:space="preserve">
The number of this product sold in the first month</t>
        </r>
      </text>
    </comment>
    <comment ref="I116" authorId="0" shapeId="0" xr:uid="{00000000-0006-0000-0700-00004E000000}">
      <text>
        <r>
          <rPr>
            <b/>
            <sz val="9"/>
            <color indexed="81"/>
            <rFont val="Tahoma"/>
            <family val="2"/>
          </rPr>
          <t>Admin:</t>
        </r>
        <r>
          <rPr>
            <sz val="9"/>
            <color indexed="81"/>
            <rFont val="Tahoma"/>
            <family val="2"/>
          </rPr>
          <t xml:space="preserve">
The number of this product sold in the 2nd month</t>
        </r>
      </text>
    </comment>
    <comment ref="J116" authorId="0" shapeId="0" xr:uid="{00000000-0006-0000-0700-00004F000000}">
      <text>
        <r>
          <rPr>
            <b/>
            <sz val="9"/>
            <color indexed="81"/>
            <rFont val="Tahoma"/>
            <family val="2"/>
          </rPr>
          <t>Admin:</t>
        </r>
        <r>
          <rPr>
            <sz val="9"/>
            <color indexed="81"/>
            <rFont val="Tahoma"/>
            <family val="2"/>
          </rPr>
          <t xml:space="preserve">
The number of this product sold in the 3rd month</t>
        </r>
      </text>
    </comment>
    <comment ref="K116" authorId="0" shapeId="0" xr:uid="{00000000-0006-0000-0700-000050000000}">
      <text>
        <r>
          <rPr>
            <b/>
            <sz val="9"/>
            <color indexed="81"/>
            <rFont val="Tahoma"/>
            <family val="2"/>
          </rPr>
          <t>Admin:</t>
        </r>
        <r>
          <rPr>
            <sz val="9"/>
            <color indexed="81"/>
            <rFont val="Tahoma"/>
            <family val="2"/>
          </rPr>
          <t xml:space="preserve">
The number of this product sold in the 4th month</t>
        </r>
      </text>
    </comment>
    <comment ref="L116" authorId="0" shapeId="0" xr:uid="{00000000-0006-0000-0700-000051000000}">
      <text>
        <r>
          <rPr>
            <b/>
            <sz val="9"/>
            <color indexed="81"/>
            <rFont val="Tahoma"/>
            <family val="2"/>
          </rPr>
          <t>Admin:</t>
        </r>
        <r>
          <rPr>
            <sz val="9"/>
            <color indexed="81"/>
            <rFont val="Tahoma"/>
            <family val="2"/>
          </rPr>
          <t xml:space="preserve">
The number of this product sold in the 5th month</t>
        </r>
      </text>
    </comment>
    <comment ref="M116" authorId="0" shapeId="0" xr:uid="{00000000-0006-0000-0700-000052000000}">
      <text>
        <r>
          <rPr>
            <b/>
            <sz val="9"/>
            <color indexed="81"/>
            <rFont val="Tahoma"/>
            <family val="2"/>
          </rPr>
          <t>Admin:</t>
        </r>
        <r>
          <rPr>
            <sz val="9"/>
            <color indexed="81"/>
            <rFont val="Tahoma"/>
            <family val="2"/>
          </rPr>
          <t xml:space="preserve">
The number of this product sold in the 6th month</t>
        </r>
      </text>
    </comment>
    <comment ref="N116" authorId="0" shapeId="0" xr:uid="{00000000-0006-0000-0700-000053000000}">
      <text>
        <r>
          <rPr>
            <b/>
            <sz val="9"/>
            <color indexed="81"/>
            <rFont val="Tahoma"/>
            <family val="2"/>
          </rPr>
          <t>Admin:</t>
        </r>
        <r>
          <rPr>
            <sz val="9"/>
            <color indexed="81"/>
            <rFont val="Tahoma"/>
            <family val="2"/>
          </rPr>
          <t xml:space="preserve">
The number of this product sold in the 7th month</t>
        </r>
      </text>
    </comment>
    <comment ref="O116" authorId="0" shapeId="0" xr:uid="{00000000-0006-0000-0700-000054000000}">
      <text>
        <r>
          <rPr>
            <b/>
            <sz val="9"/>
            <color indexed="81"/>
            <rFont val="Tahoma"/>
            <family val="2"/>
          </rPr>
          <t>Admin:</t>
        </r>
        <r>
          <rPr>
            <sz val="9"/>
            <color indexed="81"/>
            <rFont val="Tahoma"/>
            <family val="2"/>
          </rPr>
          <t xml:space="preserve">
The number of this product sold in the 8th month</t>
        </r>
      </text>
    </comment>
    <comment ref="P116" authorId="0" shapeId="0" xr:uid="{00000000-0006-0000-0700-000055000000}">
      <text>
        <r>
          <rPr>
            <b/>
            <sz val="9"/>
            <color indexed="81"/>
            <rFont val="Tahoma"/>
            <family val="2"/>
          </rPr>
          <t>Admin:</t>
        </r>
        <r>
          <rPr>
            <sz val="9"/>
            <color indexed="81"/>
            <rFont val="Tahoma"/>
            <family val="2"/>
          </rPr>
          <t xml:space="preserve">
The number of this product sold in the 9th month</t>
        </r>
      </text>
    </comment>
    <comment ref="Q116" authorId="0" shapeId="0" xr:uid="{00000000-0006-0000-0700-000056000000}">
      <text>
        <r>
          <rPr>
            <b/>
            <sz val="9"/>
            <color indexed="81"/>
            <rFont val="Tahoma"/>
            <family val="2"/>
          </rPr>
          <t>Admin:</t>
        </r>
        <r>
          <rPr>
            <sz val="9"/>
            <color indexed="81"/>
            <rFont val="Tahoma"/>
            <family val="2"/>
          </rPr>
          <t xml:space="preserve">
The number of this product sold in the 10th month</t>
        </r>
      </text>
    </comment>
    <comment ref="R116" authorId="0" shapeId="0" xr:uid="{00000000-0006-0000-0700-000057000000}">
      <text>
        <r>
          <rPr>
            <b/>
            <sz val="9"/>
            <color indexed="81"/>
            <rFont val="Tahoma"/>
            <family val="2"/>
          </rPr>
          <t>Admin:</t>
        </r>
        <r>
          <rPr>
            <sz val="9"/>
            <color indexed="81"/>
            <rFont val="Tahoma"/>
            <family val="2"/>
          </rPr>
          <t xml:space="preserve">
The number of this product sold in the 11th month</t>
        </r>
      </text>
    </comment>
    <comment ref="S116" authorId="0" shapeId="0" xr:uid="{00000000-0006-0000-0700-000058000000}">
      <text>
        <r>
          <rPr>
            <b/>
            <sz val="9"/>
            <color indexed="81"/>
            <rFont val="Tahoma"/>
            <family val="2"/>
          </rPr>
          <t>Admin:</t>
        </r>
        <r>
          <rPr>
            <sz val="9"/>
            <color indexed="81"/>
            <rFont val="Tahoma"/>
            <family val="2"/>
          </rPr>
          <t xml:space="preserve">
The number of this product sold in the 12th month</t>
        </r>
      </text>
    </comment>
    <comment ref="E117" authorId="0" shapeId="0" xr:uid="{00000000-0006-0000-0700-000059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118" authorId="0" shapeId="0" xr:uid="{00000000-0006-0000-0700-00005A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132" authorId="0" shapeId="0" xr:uid="{00000000-0006-0000-0700-00005B000000}">
      <text>
        <r>
          <rPr>
            <b/>
            <sz val="9"/>
            <color indexed="81"/>
            <rFont val="Tahoma"/>
            <family val="2"/>
          </rPr>
          <t>Admin:</t>
        </r>
        <r>
          <rPr>
            <sz val="9"/>
            <color indexed="81"/>
            <rFont val="Tahoma"/>
            <family val="2"/>
          </rPr>
          <t xml:space="preserve">
Put the gross sales amount for your sixth product here</t>
        </r>
      </text>
    </comment>
    <comment ref="H137" authorId="0" shapeId="0" xr:uid="{00000000-0006-0000-0700-00005C000000}">
      <text>
        <r>
          <rPr>
            <b/>
            <sz val="9"/>
            <color indexed="81"/>
            <rFont val="Tahoma"/>
            <family val="2"/>
          </rPr>
          <t>Admin:</t>
        </r>
        <r>
          <rPr>
            <sz val="9"/>
            <color indexed="81"/>
            <rFont val="Tahoma"/>
            <family val="2"/>
          </rPr>
          <t xml:space="preserve">
The number of this product sold in the first month</t>
        </r>
      </text>
    </comment>
    <comment ref="I137" authorId="0" shapeId="0" xr:uid="{00000000-0006-0000-0700-00005D000000}">
      <text>
        <r>
          <rPr>
            <b/>
            <sz val="9"/>
            <color indexed="81"/>
            <rFont val="Tahoma"/>
            <family val="2"/>
          </rPr>
          <t>Admin:</t>
        </r>
        <r>
          <rPr>
            <sz val="9"/>
            <color indexed="81"/>
            <rFont val="Tahoma"/>
            <family val="2"/>
          </rPr>
          <t xml:space="preserve">
The number of this product sold in the 2nd month</t>
        </r>
      </text>
    </comment>
    <comment ref="J137" authorId="0" shapeId="0" xr:uid="{00000000-0006-0000-0700-00005E000000}">
      <text>
        <r>
          <rPr>
            <b/>
            <sz val="9"/>
            <color indexed="81"/>
            <rFont val="Tahoma"/>
            <family val="2"/>
          </rPr>
          <t>Admin:</t>
        </r>
        <r>
          <rPr>
            <sz val="9"/>
            <color indexed="81"/>
            <rFont val="Tahoma"/>
            <family val="2"/>
          </rPr>
          <t xml:space="preserve">
The number of this product sold in the 3rd month</t>
        </r>
      </text>
    </comment>
    <comment ref="K137" authorId="0" shapeId="0" xr:uid="{00000000-0006-0000-0700-00005F000000}">
      <text>
        <r>
          <rPr>
            <b/>
            <sz val="9"/>
            <color indexed="81"/>
            <rFont val="Tahoma"/>
            <family val="2"/>
          </rPr>
          <t>Admin:</t>
        </r>
        <r>
          <rPr>
            <sz val="9"/>
            <color indexed="81"/>
            <rFont val="Tahoma"/>
            <family val="2"/>
          </rPr>
          <t xml:space="preserve">
The number of this product sold in the 4th month</t>
        </r>
      </text>
    </comment>
    <comment ref="L137" authorId="0" shapeId="0" xr:uid="{00000000-0006-0000-0700-000060000000}">
      <text>
        <r>
          <rPr>
            <b/>
            <sz val="9"/>
            <color indexed="81"/>
            <rFont val="Tahoma"/>
            <family val="2"/>
          </rPr>
          <t>Admin:</t>
        </r>
        <r>
          <rPr>
            <sz val="9"/>
            <color indexed="81"/>
            <rFont val="Tahoma"/>
            <family val="2"/>
          </rPr>
          <t xml:space="preserve">
The number of this product sold in the 5th month</t>
        </r>
      </text>
    </comment>
    <comment ref="M137" authorId="0" shapeId="0" xr:uid="{00000000-0006-0000-0700-000061000000}">
      <text>
        <r>
          <rPr>
            <b/>
            <sz val="9"/>
            <color indexed="81"/>
            <rFont val="Tahoma"/>
            <family val="2"/>
          </rPr>
          <t>Admin:</t>
        </r>
        <r>
          <rPr>
            <sz val="9"/>
            <color indexed="81"/>
            <rFont val="Tahoma"/>
            <family val="2"/>
          </rPr>
          <t xml:space="preserve">
The number of this product sold in the 6th month</t>
        </r>
      </text>
    </comment>
    <comment ref="N137" authorId="0" shapeId="0" xr:uid="{00000000-0006-0000-0700-000062000000}">
      <text>
        <r>
          <rPr>
            <b/>
            <sz val="9"/>
            <color indexed="81"/>
            <rFont val="Tahoma"/>
            <family val="2"/>
          </rPr>
          <t>Admin:</t>
        </r>
        <r>
          <rPr>
            <sz val="9"/>
            <color indexed="81"/>
            <rFont val="Tahoma"/>
            <family val="2"/>
          </rPr>
          <t xml:space="preserve">
The number of this product sold in the 7th month</t>
        </r>
      </text>
    </comment>
    <comment ref="O137" authorId="0" shapeId="0" xr:uid="{00000000-0006-0000-0700-000063000000}">
      <text>
        <r>
          <rPr>
            <b/>
            <sz val="9"/>
            <color indexed="81"/>
            <rFont val="Tahoma"/>
            <family val="2"/>
          </rPr>
          <t>Admin:</t>
        </r>
        <r>
          <rPr>
            <sz val="9"/>
            <color indexed="81"/>
            <rFont val="Tahoma"/>
            <family val="2"/>
          </rPr>
          <t xml:space="preserve">
The number of this product sold in the 8th month</t>
        </r>
      </text>
    </comment>
    <comment ref="P137" authorId="0" shapeId="0" xr:uid="{00000000-0006-0000-0700-000064000000}">
      <text>
        <r>
          <rPr>
            <b/>
            <sz val="9"/>
            <color indexed="81"/>
            <rFont val="Tahoma"/>
            <family val="2"/>
          </rPr>
          <t>Admin:</t>
        </r>
        <r>
          <rPr>
            <sz val="9"/>
            <color indexed="81"/>
            <rFont val="Tahoma"/>
            <family val="2"/>
          </rPr>
          <t xml:space="preserve">
The number of this product sold in the 9th month</t>
        </r>
      </text>
    </comment>
    <comment ref="Q137" authorId="0" shapeId="0" xr:uid="{00000000-0006-0000-0700-000065000000}">
      <text>
        <r>
          <rPr>
            <b/>
            <sz val="9"/>
            <color indexed="81"/>
            <rFont val="Tahoma"/>
            <family val="2"/>
          </rPr>
          <t>Admin:</t>
        </r>
        <r>
          <rPr>
            <sz val="9"/>
            <color indexed="81"/>
            <rFont val="Tahoma"/>
            <family val="2"/>
          </rPr>
          <t xml:space="preserve">
The number of this product sold in the 10th month</t>
        </r>
      </text>
    </comment>
    <comment ref="R137" authorId="0" shapeId="0" xr:uid="{00000000-0006-0000-0700-000066000000}">
      <text>
        <r>
          <rPr>
            <b/>
            <sz val="9"/>
            <color indexed="81"/>
            <rFont val="Tahoma"/>
            <family val="2"/>
          </rPr>
          <t>Admin:</t>
        </r>
        <r>
          <rPr>
            <sz val="9"/>
            <color indexed="81"/>
            <rFont val="Tahoma"/>
            <family val="2"/>
          </rPr>
          <t xml:space="preserve">
The number of this product sold in the 11th month</t>
        </r>
      </text>
    </comment>
    <comment ref="S137" authorId="0" shapeId="0" xr:uid="{00000000-0006-0000-0700-000067000000}">
      <text>
        <r>
          <rPr>
            <b/>
            <sz val="9"/>
            <color indexed="81"/>
            <rFont val="Tahoma"/>
            <family val="2"/>
          </rPr>
          <t>Admin:</t>
        </r>
        <r>
          <rPr>
            <sz val="9"/>
            <color indexed="81"/>
            <rFont val="Tahoma"/>
            <family val="2"/>
          </rPr>
          <t xml:space="preserve">
The number of this product sold in the 12th month</t>
        </r>
      </text>
    </comment>
    <comment ref="E138" authorId="0" shapeId="0" xr:uid="{00000000-0006-0000-0700-000068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139" authorId="0" shapeId="0" xr:uid="{00000000-0006-0000-0700-000069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153" authorId="0" shapeId="0" xr:uid="{00000000-0006-0000-0700-00006A000000}">
      <text>
        <r>
          <rPr>
            <b/>
            <sz val="9"/>
            <color indexed="81"/>
            <rFont val="Tahoma"/>
            <family val="2"/>
          </rPr>
          <t>Admin:</t>
        </r>
        <r>
          <rPr>
            <sz val="9"/>
            <color indexed="81"/>
            <rFont val="Tahoma"/>
            <family val="2"/>
          </rPr>
          <t xml:space="preserve">
Put the gross sales amount for your sixth product here</t>
        </r>
      </text>
    </comment>
    <comment ref="H158" authorId="0" shapeId="0" xr:uid="{00000000-0006-0000-0700-00006B000000}">
      <text>
        <r>
          <rPr>
            <b/>
            <sz val="9"/>
            <color indexed="81"/>
            <rFont val="Tahoma"/>
            <family val="2"/>
          </rPr>
          <t>Admin:</t>
        </r>
        <r>
          <rPr>
            <sz val="9"/>
            <color indexed="81"/>
            <rFont val="Tahoma"/>
            <family val="2"/>
          </rPr>
          <t xml:space="preserve">
The number of this product sold in the first month</t>
        </r>
      </text>
    </comment>
    <comment ref="I158" authorId="0" shapeId="0" xr:uid="{00000000-0006-0000-0700-00006C000000}">
      <text>
        <r>
          <rPr>
            <b/>
            <sz val="9"/>
            <color indexed="81"/>
            <rFont val="Tahoma"/>
            <family val="2"/>
          </rPr>
          <t>Admin:</t>
        </r>
        <r>
          <rPr>
            <sz val="9"/>
            <color indexed="81"/>
            <rFont val="Tahoma"/>
            <family val="2"/>
          </rPr>
          <t xml:space="preserve">
The number of this product sold in the 2nd month</t>
        </r>
      </text>
    </comment>
    <comment ref="J158" authorId="0" shapeId="0" xr:uid="{00000000-0006-0000-0700-00006D000000}">
      <text>
        <r>
          <rPr>
            <b/>
            <sz val="9"/>
            <color indexed="81"/>
            <rFont val="Tahoma"/>
            <family val="2"/>
          </rPr>
          <t>Admin:</t>
        </r>
        <r>
          <rPr>
            <sz val="9"/>
            <color indexed="81"/>
            <rFont val="Tahoma"/>
            <family val="2"/>
          </rPr>
          <t xml:space="preserve">
The number of this product sold in the 3rd month</t>
        </r>
      </text>
    </comment>
    <comment ref="K158" authorId="0" shapeId="0" xr:uid="{00000000-0006-0000-0700-00006E000000}">
      <text>
        <r>
          <rPr>
            <b/>
            <sz val="9"/>
            <color indexed="81"/>
            <rFont val="Tahoma"/>
            <family val="2"/>
          </rPr>
          <t>Admin:</t>
        </r>
        <r>
          <rPr>
            <sz val="9"/>
            <color indexed="81"/>
            <rFont val="Tahoma"/>
            <family val="2"/>
          </rPr>
          <t xml:space="preserve">
The number of this product sold in the 4th month</t>
        </r>
      </text>
    </comment>
    <comment ref="L158" authorId="0" shapeId="0" xr:uid="{00000000-0006-0000-0700-00006F000000}">
      <text>
        <r>
          <rPr>
            <b/>
            <sz val="9"/>
            <color indexed="81"/>
            <rFont val="Tahoma"/>
            <family val="2"/>
          </rPr>
          <t>Admin:</t>
        </r>
        <r>
          <rPr>
            <sz val="9"/>
            <color indexed="81"/>
            <rFont val="Tahoma"/>
            <family val="2"/>
          </rPr>
          <t xml:space="preserve">
The number of this product sold in the 5th month</t>
        </r>
      </text>
    </comment>
    <comment ref="M158" authorId="0" shapeId="0" xr:uid="{00000000-0006-0000-0700-000070000000}">
      <text>
        <r>
          <rPr>
            <b/>
            <sz val="9"/>
            <color indexed="81"/>
            <rFont val="Tahoma"/>
            <family val="2"/>
          </rPr>
          <t>Admin:</t>
        </r>
        <r>
          <rPr>
            <sz val="9"/>
            <color indexed="81"/>
            <rFont val="Tahoma"/>
            <family val="2"/>
          </rPr>
          <t xml:space="preserve">
The number of this product sold in the 6th month</t>
        </r>
      </text>
    </comment>
    <comment ref="N158" authorId="0" shapeId="0" xr:uid="{00000000-0006-0000-0700-000071000000}">
      <text>
        <r>
          <rPr>
            <b/>
            <sz val="9"/>
            <color indexed="81"/>
            <rFont val="Tahoma"/>
            <family val="2"/>
          </rPr>
          <t>Admin:</t>
        </r>
        <r>
          <rPr>
            <sz val="9"/>
            <color indexed="81"/>
            <rFont val="Tahoma"/>
            <family val="2"/>
          </rPr>
          <t xml:space="preserve">
The number of this product sold in the 7th month</t>
        </r>
      </text>
    </comment>
    <comment ref="O158" authorId="0" shapeId="0" xr:uid="{00000000-0006-0000-0700-000072000000}">
      <text>
        <r>
          <rPr>
            <b/>
            <sz val="9"/>
            <color indexed="81"/>
            <rFont val="Tahoma"/>
            <family val="2"/>
          </rPr>
          <t>Admin:</t>
        </r>
        <r>
          <rPr>
            <sz val="9"/>
            <color indexed="81"/>
            <rFont val="Tahoma"/>
            <family val="2"/>
          </rPr>
          <t xml:space="preserve">
The number of this product sold in the 8th month</t>
        </r>
      </text>
    </comment>
    <comment ref="P158" authorId="0" shapeId="0" xr:uid="{00000000-0006-0000-0700-000073000000}">
      <text>
        <r>
          <rPr>
            <b/>
            <sz val="9"/>
            <color indexed="81"/>
            <rFont val="Tahoma"/>
            <family val="2"/>
          </rPr>
          <t>Admin:</t>
        </r>
        <r>
          <rPr>
            <sz val="9"/>
            <color indexed="81"/>
            <rFont val="Tahoma"/>
            <family val="2"/>
          </rPr>
          <t xml:space="preserve">
The number of this product sold in the 9th month</t>
        </r>
      </text>
    </comment>
    <comment ref="Q158" authorId="0" shapeId="0" xr:uid="{00000000-0006-0000-0700-000074000000}">
      <text>
        <r>
          <rPr>
            <b/>
            <sz val="9"/>
            <color indexed="81"/>
            <rFont val="Tahoma"/>
            <family val="2"/>
          </rPr>
          <t>Admin:</t>
        </r>
        <r>
          <rPr>
            <sz val="9"/>
            <color indexed="81"/>
            <rFont val="Tahoma"/>
            <family val="2"/>
          </rPr>
          <t xml:space="preserve">
The number of this product sold in the 10th month</t>
        </r>
      </text>
    </comment>
    <comment ref="R158" authorId="0" shapeId="0" xr:uid="{00000000-0006-0000-0700-000075000000}">
      <text>
        <r>
          <rPr>
            <b/>
            <sz val="9"/>
            <color indexed="81"/>
            <rFont val="Tahoma"/>
            <family val="2"/>
          </rPr>
          <t>Admin:</t>
        </r>
        <r>
          <rPr>
            <sz val="9"/>
            <color indexed="81"/>
            <rFont val="Tahoma"/>
            <family val="2"/>
          </rPr>
          <t xml:space="preserve">
The number of this product sold in the 11th month</t>
        </r>
      </text>
    </comment>
    <comment ref="S158" authorId="0" shapeId="0" xr:uid="{00000000-0006-0000-0700-000076000000}">
      <text>
        <r>
          <rPr>
            <b/>
            <sz val="9"/>
            <color indexed="81"/>
            <rFont val="Tahoma"/>
            <family val="2"/>
          </rPr>
          <t>Admin:</t>
        </r>
        <r>
          <rPr>
            <sz val="9"/>
            <color indexed="81"/>
            <rFont val="Tahoma"/>
            <family val="2"/>
          </rPr>
          <t xml:space="preserve">
The number of this product sold in the 12th month</t>
        </r>
      </text>
    </comment>
    <comment ref="E159" authorId="0" shapeId="0" xr:uid="{00000000-0006-0000-0700-000077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160" authorId="0" shapeId="0" xr:uid="{00000000-0006-0000-0700-000078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174" authorId="0" shapeId="0" xr:uid="{00000000-0006-0000-0700-000079000000}">
      <text>
        <r>
          <rPr>
            <b/>
            <sz val="9"/>
            <color indexed="81"/>
            <rFont val="Tahoma"/>
            <family val="2"/>
          </rPr>
          <t>Admin:</t>
        </r>
        <r>
          <rPr>
            <sz val="9"/>
            <color indexed="81"/>
            <rFont val="Tahoma"/>
            <family val="2"/>
          </rPr>
          <t xml:space="preserve">
Put the gross sales amount for your sixth product here</t>
        </r>
      </text>
    </comment>
    <comment ref="H179" authorId="0" shapeId="0" xr:uid="{00000000-0006-0000-0700-00007A000000}">
      <text>
        <r>
          <rPr>
            <b/>
            <sz val="9"/>
            <color indexed="81"/>
            <rFont val="Tahoma"/>
            <family val="2"/>
          </rPr>
          <t>Admin:</t>
        </r>
        <r>
          <rPr>
            <sz val="9"/>
            <color indexed="81"/>
            <rFont val="Tahoma"/>
            <family val="2"/>
          </rPr>
          <t xml:space="preserve">
The number of this product sold in the first month</t>
        </r>
      </text>
    </comment>
    <comment ref="I179" authorId="0" shapeId="0" xr:uid="{00000000-0006-0000-0700-00007B000000}">
      <text>
        <r>
          <rPr>
            <b/>
            <sz val="9"/>
            <color indexed="81"/>
            <rFont val="Tahoma"/>
            <family val="2"/>
          </rPr>
          <t>Admin:</t>
        </r>
        <r>
          <rPr>
            <sz val="9"/>
            <color indexed="81"/>
            <rFont val="Tahoma"/>
            <family val="2"/>
          </rPr>
          <t xml:space="preserve">
The number of this product sold in the 2nd month</t>
        </r>
      </text>
    </comment>
    <comment ref="J179" authorId="0" shapeId="0" xr:uid="{00000000-0006-0000-0700-00007C000000}">
      <text>
        <r>
          <rPr>
            <b/>
            <sz val="9"/>
            <color indexed="81"/>
            <rFont val="Tahoma"/>
            <family val="2"/>
          </rPr>
          <t>Admin:</t>
        </r>
        <r>
          <rPr>
            <sz val="9"/>
            <color indexed="81"/>
            <rFont val="Tahoma"/>
            <family val="2"/>
          </rPr>
          <t xml:space="preserve">
The number of this product sold in the 3rd month</t>
        </r>
      </text>
    </comment>
    <comment ref="K179" authorId="0" shapeId="0" xr:uid="{00000000-0006-0000-0700-00007D000000}">
      <text>
        <r>
          <rPr>
            <b/>
            <sz val="9"/>
            <color indexed="81"/>
            <rFont val="Tahoma"/>
            <family val="2"/>
          </rPr>
          <t>Admin:</t>
        </r>
        <r>
          <rPr>
            <sz val="9"/>
            <color indexed="81"/>
            <rFont val="Tahoma"/>
            <family val="2"/>
          </rPr>
          <t xml:space="preserve">
The number of this product sold in the 4th month</t>
        </r>
      </text>
    </comment>
    <comment ref="L179" authorId="0" shapeId="0" xr:uid="{00000000-0006-0000-0700-00007E000000}">
      <text>
        <r>
          <rPr>
            <b/>
            <sz val="9"/>
            <color indexed="81"/>
            <rFont val="Tahoma"/>
            <family val="2"/>
          </rPr>
          <t>Admin:</t>
        </r>
        <r>
          <rPr>
            <sz val="9"/>
            <color indexed="81"/>
            <rFont val="Tahoma"/>
            <family val="2"/>
          </rPr>
          <t xml:space="preserve">
The number of this product sold in the 5th month</t>
        </r>
      </text>
    </comment>
    <comment ref="M179" authorId="0" shapeId="0" xr:uid="{00000000-0006-0000-0700-00007F000000}">
      <text>
        <r>
          <rPr>
            <b/>
            <sz val="9"/>
            <color indexed="81"/>
            <rFont val="Tahoma"/>
            <family val="2"/>
          </rPr>
          <t>Admin:</t>
        </r>
        <r>
          <rPr>
            <sz val="9"/>
            <color indexed="81"/>
            <rFont val="Tahoma"/>
            <family val="2"/>
          </rPr>
          <t xml:space="preserve">
The number of this product sold in the 6th month</t>
        </r>
      </text>
    </comment>
    <comment ref="N179" authorId="0" shapeId="0" xr:uid="{00000000-0006-0000-0700-000080000000}">
      <text>
        <r>
          <rPr>
            <b/>
            <sz val="9"/>
            <color indexed="81"/>
            <rFont val="Tahoma"/>
            <family val="2"/>
          </rPr>
          <t>Admin:</t>
        </r>
        <r>
          <rPr>
            <sz val="9"/>
            <color indexed="81"/>
            <rFont val="Tahoma"/>
            <family val="2"/>
          </rPr>
          <t xml:space="preserve">
The number of this product sold in the 7th month</t>
        </r>
      </text>
    </comment>
    <comment ref="O179" authorId="0" shapeId="0" xr:uid="{00000000-0006-0000-0700-000081000000}">
      <text>
        <r>
          <rPr>
            <b/>
            <sz val="9"/>
            <color indexed="81"/>
            <rFont val="Tahoma"/>
            <family val="2"/>
          </rPr>
          <t>Admin:</t>
        </r>
        <r>
          <rPr>
            <sz val="9"/>
            <color indexed="81"/>
            <rFont val="Tahoma"/>
            <family val="2"/>
          </rPr>
          <t xml:space="preserve">
The number of this product sold in the 8th month</t>
        </r>
      </text>
    </comment>
    <comment ref="P179" authorId="0" shapeId="0" xr:uid="{00000000-0006-0000-0700-000082000000}">
      <text>
        <r>
          <rPr>
            <b/>
            <sz val="9"/>
            <color indexed="81"/>
            <rFont val="Tahoma"/>
            <family val="2"/>
          </rPr>
          <t>Admin:</t>
        </r>
        <r>
          <rPr>
            <sz val="9"/>
            <color indexed="81"/>
            <rFont val="Tahoma"/>
            <family val="2"/>
          </rPr>
          <t xml:space="preserve">
The number of this product sold in the 9th month</t>
        </r>
      </text>
    </comment>
    <comment ref="Q179" authorId="0" shapeId="0" xr:uid="{00000000-0006-0000-0700-000083000000}">
      <text>
        <r>
          <rPr>
            <b/>
            <sz val="9"/>
            <color indexed="81"/>
            <rFont val="Tahoma"/>
            <family val="2"/>
          </rPr>
          <t>Admin:</t>
        </r>
        <r>
          <rPr>
            <sz val="9"/>
            <color indexed="81"/>
            <rFont val="Tahoma"/>
            <family val="2"/>
          </rPr>
          <t xml:space="preserve">
The number of this product sold in the 10th month</t>
        </r>
      </text>
    </comment>
    <comment ref="R179" authorId="0" shapeId="0" xr:uid="{00000000-0006-0000-0700-000084000000}">
      <text>
        <r>
          <rPr>
            <b/>
            <sz val="9"/>
            <color indexed="81"/>
            <rFont val="Tahoma"/>
            <family val="2"/>
          </rPr>
          <t>Admin:</t>
        </r>
        <r>
          <rPr>
            <sz val="9"/>
            <color indexed="81"/>
            <rFont val="Tahoma"/>
            <family val="2"/>
          </rPr>
          <t xml:space="preserve">
The number of this product sold in the 11th month</t>
        </r>
      </text>
    </comment>
    <comment ref="S179" authorId="0" shapeId="0" xr:uid="{00000000-0006-0000-0700-000085000000}">
      <text>
        <r>
          <rPr>
            <b/>
            <sz val="9"/>
            <color indexed="81"/>
            <rFont val="Tahoma"/>
            <family val="2"/>
          </rPr>
          <t>Admin:</t>
        </r>
        <r>
          <rPr>
            <sz val="9"/>
            <color indexed="81"/>
            <rFont val="Tahoma"/>
            <family val="2"/>
          </rPr>
          <t xml:space="preserve">
The number of this product sold in the 12th month</t>
        </r>
      </text>
    </comment>
    <comment ref="E180" authorId="0" shapeId="0" xr:uid="{00000000-0006-0000-0700-000086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181" authorId="0" shapeId="0" xr:uid="{00000000-0006-0000-0700-000087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195" authorId="0" shapeId="0" xr:uid="{00000000-0006-0000-0700-000088000000}">
      <text>
        <r>
          <rPr>
            <b/>
            <sz val="9"/>
            <color indexed="81"/>
            <rFont val="Tahoma"/>
            <family val="2"/>
          </rPr>
          <t>Admin:</t>
        </r>
        <r>
          <rPr>
            <sz val="9"/>
            <color indexed="81"/>
            <rFont val="Tahoma"/>
            <family val="2"/>
          </rPr>
          <t xml:space="preserve">
Put the gross sales amount for your sixth product here</t>
        </r>
      </text>
    </comment>
    <comment ref="H200" authorId="0" shapeId="0" xr:uid="{00000000-0006-0000-0700-000089000000}">
      <text>
        <r>
          <rPr>
            <b/>
            <sz val="9"/>
            <color indexed="81"/>
            <rFont val="Tahoma"/>
            <family val="2"/>
          </rPr>
          <t>Admin:</t>
        </r>
        <r>
          <rPr>
            <sz val="9"/>
            <color indexed="81"/>
            <rFont val="Tahoma"/>
            <family val="2"/>
          </rPr>
          <t xml:space="preserve">
The number of this product sold in the first month</t>
        </r>
      </text>
    </comment>
    <comment ref="I200" authorId="0" shapeId="0" xr:uid="{00000000-0006-0000-0700-00008A000000}">
      <text>
        <r>
          <rPr>
            <b/>
            <sz val="9"/>
            <color indexed="81"/>
            <rFont val="Tahoma"/>
            <family val="2"/>
          </rPr>
          <t>Admin:</t>
        </r>
        <r>
          <rPr>
            <sz val="9"/>
            <color indexed="81"/>
            <rFont val="Tahoma"/>
            <family val="2"/>
          </rPr>
          <t xml:space="preserve">
The number of this product sold in the 2nd month</t>
        </r>
      </text>
    </comment>
    <comment ref="J200" authorId="0" shapeId="0" xr:uid="{00000000-0006-0000-0700-00008B000000}">
      <text>
        <r>
          <rPr>
            <b/>
            <sz val="9"/>
            <color indexed="81"/>
            <rFont val="Tahoma"/>
            <family val="2"/>
          </rPr>
          <t>Admin:</t>
        </r>
        <r>
          <rPr>
            <sz val="9"/>
            <color indexed="81"/>
            <rFont val="Tahoma"/>
            <family val="2"/>
          </rPr>
          <t xml:space="preserve">
The number of this product sold in the 3rd month</t>
        </r>
      </text>
    </comment>
    <comment ref="K200" authorId="0" shapeId="0" xr:uid="{00000000-0006-0000-0700-00008C000000}">
      <text>
        <r>
          <rPr>
            <b/>
            <sz val="9"/>
            <color indexed="81"/>
            <rFont val="Tahoma"/>
            <family val="2"/>
          </rPr>
          <t>Admin:</t>
        </r>
        <r>
          <rPr>
            <sz val="9"/>
            <color indexed="81"/>
            <rFont val="Tahoma"/>
            <family val="2"/>
          </rPr>
          <t xml:space="preserve">
The number of this product sold in the 4th month</t>
        </r>
      </text>
    </comment>
    <comment ref="L200" authorId="0" shapeId="0" xr:uid="{00000000-0006-0000-0700-00008D000000}">
      <text>
        <r>
          <rPr>
            <b/>
            <sz val="9"/>
            <color indexed="81"/>
            <rFont val="Tahoma"/>
            <family val="2"/>
          </rPr>
          <t>Admin:</t>
        </r>
        <r>
          <rPr>
            <sz val="9"/>
            <color indexed="81"/>
            <rFont val="Tahoma"/>
            <family val="2"/>
          </rPr>
          <t xml:space="preserve">
The number of this product sold in the 5th month</t>
        </r>
      </text>
    </comment>
    <comment ref="M200" authorId="0" shapeId="0" xr:uid="{00000000-0006-0000-0700-00008E000000}">
      <text>
        <r>
          <rPr>
            <b/>
            <sz val="9"/>
            <color indexed="81"/>
            <rFont val="Tahoma"/>
            <family val="2"/>
          </rPr>
          <t>Admin:</t>
        </r>
        <r>
          <rPr>
            <sz val="9"/>
            <color indexed="81"/>
            <rFont val="Tahoma"/>
            <family val="2"/>
          </rPr>
          <t xml:space="preserve">
The number of this product sold in the 6th month</t>
        </r>
      </text>
    </comment>
    <comment ref="N200" authorId="0" shapeId="0" xr:uid="{00000000-0006-0000-0700-00008F000000}">
      <text>
        <r>
          <rPr>
            <b/>
            <sz val="9"/>
            <color indexed="81"/>
            <rFont val="Tahoma"/>
            <family val="2"/>
          </rPr>
          <t>Admin:</t>
        </r>
        <r>
          <rPr>
            <sz val="9"/>
            <color indexed="81"/>
            <rFont val="Tahoma"/>
            <family val="2"/>
          </rPr>
          <t xml:space="preserve">
The number of this product sold in the 7th month</t>
        </r>
      </text>
    </comment>
    <comment ref="O200" authorId="0" shapeId="0" xr:uid="{00000000-0006-0000-0700-000090000000}">
      <text>
        <r>
          <rPr>
            <b/>
            <sz val="9"/>
            <color indexed="81"/>
            <rFont val="Tahoma"/>
            <family val="2"/>
          </rPr>
          <t>Admin:</t>
        </r>
        <r>
          <rPr>
            <sz val="9"/>
            <color indexed="81"/>
            <rFont val="Tahoma"/>
            <family val="2"/>
          </rPr>
          <t xml:space="preserve">
The number of this product sold in the 8th month</t>
        </r>
      </text>
    </comment>
    <comment ref="P200" authorId="0" shapeId="0" xr:uid="{00000000-0006-0000-0700-000091000000}">
      <text>
        <r>
          <rPr>
            <b/>
            <sz val="9"/>
            <color indexed="81"/>
            <rFont val="Tahoma"/>
            <family val="2"/>
          </rPr>
          <t>Admin:</t>
        </r>
        <r>
          <rPr>
            <sz val="9"/>
            <color indexed="81"/>
            <rFont val="Tahoma"/>
            <family val="2"/>
          </rPr>
          <t xml:space="preserve">
The number of this product sold in the 9th month</t>
        </r>
      </text>
    </comment>
    <comment ref="Q200" authorId="0" shapeId="0" xr:uid="{00000000-0006-0000-0700-000092000000}">
      <text>
        <r>
          <rPr>
            <b/>
            <sz val="9"/>
            <color indexed="81"/>
            <rFont val="Tahoma"/>
            <family val="2"/>
          </rPr>
          <t>Admin:</t>
        </r>
        <r>
          <rPr>
            <sz val="9"/>
            <color indexed="81"/>
            <rFont val="Tahoma"/>
            <family val="2"/>
          </rPr>
          <t xml:space="preserve">
The number of this product sold in the 10th month</t>
        </r>
      </text>
    </comment>
    <comment ref="R200" authorId="0" shapeId="0" xr:uid="{00000000-0006-0000-0700-000093000000}">
      <text>
        <r>
          <rPr>
            <b/>
            <sz val="9"/>
            <color indexed="81"/>
            <rFont val="Tahoma"/>
            <family val="2"/>
          </rPr>
          <t>Admin:</t>
        </r>
        <r>
          <rPr>
            <sz val="9"/>
            <color indexed="81"/>
            <rFont val="Tahoma"/>
            <family val="2"/>
          </rPr>
          <t xml:space="preserve">
The number of this product sold in the 11th month</t>
        </r>
      </text>
    </comment>
    <comment ref="S200" authorId="0" shapeId="0" xr:uid="{00000000-0006-0000-0700-000094000000}">
      <text>
        <r>
          <rPr>
            <b/>
            <sz val="9"/>
            <color indexed="81"/>
            <rFont val="Tahoma"/>
            <family val="2"/>
          </rPr>
          <t>Admin:</t>
        </r>
        <r>
          <rPr>
            <sz val="9"/>
            <color indexed="81"/>
            <rFont val="Tahoma"/>
            <family val="2"/>
          </rPr>
          <t xml:space="preserve">
The number of this product sold in the 12th month</t>
        </r>
      </text>
    </comment>
    <comment ref="E201" authorId="0" shapeId="0" xr:uid="{00000000-0006-0000-0700-000095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202" authorId="0" shapeId="0" xr:uid="{00000000-0006-0000-0700-000096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216" authorId="0" shapeId="0" xr:uid="{00000000-0006-0000-0700-000097000000}">
      <text>
        <r>
          <rPr>
            <b/>
            <sz val="9"/>
            <color indexed="81"/>
            <rFont val="Tahoma"/>
            <family val="2"/>
          </rPr>
          <t>Admin:</t>
        </r>
        <r>
          <rPr>
            <sz val="9"/>
            <color indexed="81"/>
            <rFont val="Tahoma"/>
            <family val="2"/>
          </rPr>
          <t xml:space="preserve">
Put the gross sales amount for your sixth product here</t>
        </r>
      </text>
    </comment>
    <comment ref="H221" authorId="0" shapeId="0" xr:uid="{00000000-0006-0000-0700-000098000000}">
      <text>
        <r>
          <rPr>
            <b/>
            <sz val="9"/>
            <color indexed="81"/>
            <rFont val="Tahoma"/>
            <family val="2"/>
          </rPr>
          <t>Admin:</t>
        </r>
        <r>
          <rPr>
            <sz val="9"/>
            <color indexed="81"/>
            <rFont val="Tahoma"/>
            <family val="2"/>
          </rPr>
          <t xml:space="preserve">
The number of this product sold in the first month</t>
        </r>
      </text>
    </comment>
    <comment ref="I221" authorId="0" shapeId="0" xr:uid="{00000000-0006-0000-0700-000099000000}">
      <text>
        <r>
          <rPr>
            <b/>
            <sz val="9"/>
            <color indexed="81"/>
            <rFont val="Tahoma"/>
            <family val="2"/>
          </rPr>
          <t>Admin:</t>
        </r>
        <r>
          <rPr>
            <sz val="9"/>
            <color indexed="81"/>
            <rFont val="Tahoma"/>
            <family val="2"/>
          </rPr>
          <t xml:space="preserve">
The number of this product sold in the 2nd month</t>
        </r>
      </text>
    </comment>
    <comment ref="J221" authorId="0" shapeId="0" xr:uid="{00000000-0006-0000-0700-00009A000000}">
      <text>
        <r>
          <rPr>
            <b/>
            <sz val="9"/>
            <color indexed="81"/>
            <rFont val="Tahoma"/>
            <family val="2"/>
          </rPr>
          <t>Admin:</t>
        </r>
        <r>
          <rPr>
            <sz val="9"/>
            <color indexed="81"/>
            <rFont val="Tahoma"/>
            <family val="2"/>
          </rPr>
          <t xml:space="preserve">
The number of this product sold in the 3rd month</t>
        </r>
      </text>
    </comment>
    <comment ref="K221" authorId="0" shapeId="0" xr:uid="{00000000-0006-0000-0700-00009B000000}">
      <text>
        <r>
          <rPr>
            <b/>
            <sz val="9"/>
            <color indexed="81"/>
            <rFont val="Tahoma"/>
            <family val="2"/>
          </rPr>
          <t>Admin:</t>
        </r>
        <r>
          <rPr>
            <sz val="9"/>
            <color indexed="81"/>
            <rFont val="Tahoma"/>
            <family val="2"/>
          </rPr>
          <t xml:space="preserve">
The number of this product sold in the 4th month</t>
        </r>
      </text>
    </comment>
    <comment ref="L221" authorId="0" shapeId="0" xr:uid="{00000000-0006-0000-0700-00009C000000}">
      <text>
        <r>
          <rPr>
            <b/>
            <sz val="9"/>
            <color indexed="81"/>
            <rFont val="Tahoma"/>
            <family val="2"/>
          </rPr>
          <t>Admin:</t>
        </r>
        <r>
          <rPr>
            <sz val="9"/>
            <color indexed="81"/>
            <rFont val="Tahoma"/>
            <family val="2"/>
          </rPr>
          <t xml:space="preserve">
The number of this product sold in the 5th month</t>
        </r>
      </text>
    </comment>
    <comment ref="M221" authorId="0" shapeId="0" xr:uid="{00000000-0006-0000-0700-00009D000000}">
      <text>
        <r>
          <rPr>
            <b/>
            <sz val="9"/>
            <color indexed="81"/>
            <rFont val="Tahoma"/>
            <family val="2"/>
          </rPr>
          <t>Admin:</t>
        </r>
        <r>
          <rPr>
            <sz val="9"/>
            <color indexed="81"/>
            <rFont val="Tahoma"/>
            <family val="2"/>
          </rPr>
          <t xml:space="preserve">
The number of this product sold in the 6th month</t>
        </r>
      </text>
    </comment>
    <comment ref="N221" authorId="0" shapeId="0" xr:uid="{00000000-0006-0000-0700-00009E000000}">
      <text>
        <r>
          <rPr>
            <b/>
            <sz val="9"/>
            <color indexed="81"/>
            <rFont val="Tahoma"/>
            <family val="2"/>
          </rPr>
          <t>Admin:</t>
        </r>
        <r>
          <rPr>
            <sz val="9"/>
            <color indexed="81"/>
            <rFont val="Tahoma"/>
            <family val="2"/>
          </rPr>
          <t xml:space="preserve">
The number of this product sold in the 7th month</t>
        </r>
      </text>
    </comment>
    <comment ref="O221" authorId="0" shapeId="0" xr:uid="{00000000-0006-0000-0700-00009F000000}">
      <text>
        <r>
          <rPr>
            <b/>
            <sz val="9"/>
            <color indexed="81"/>
            <rFont val="Tahoma"/>
            <family val="2"/>
          </rPr>
          <t>Admin:</t>
        </r>
        <r>
          <rPr>
            <sz val="9"/>
            <color indexed="81"/>
            <rFont val="Tahoma"/>
            <family val="2"/>
          </rPr>
          <t xml:space="preserve">
The number of this product sold in the 8th month</t>
        </r>
      </text>
    </comment>
    <comment ref="P221" authorId="0" shapeId="0" xr:uid="{00000000-0006-0000-0700-0000A0000000}">
      <text>
        <r>
          <rPr>
            <b/>
            <sz val="9"/>
            <color indexed="81"/>
            <rFont val="Tahoma"/>
            <family val="2"/>
          </rPr>
          <t>Admin:</t>
        </r>
        <r>
          <rPr>
            <sz val="9"/>
            <color indexed="81"/>
            <rFont val="Tahoma"/>
            <family val="2"/>
          </rPr>
          <t xml:space="preserve">
The number of this product sold in the 9th month</t>
        </r>
      </text>
    </comment>
    <comment ref="Q221" authorId="0" shapeId="0" xr:uid="{00000000-0006-0000-0700-0000A1000000}">
      <text>
        <r>
          <rPr>
            <b/>
            <sz val="9"/>
            <color indexed="81"/>
            <rFont val="Tahoma"/>
            <family val="2"/>
          </rPr>
          <t>Admin:</t>
        </r>
        <r>
          <rPr>
            <sz val="9"/>
            <color indexed="81"/>
            <rFont val="Tahoma"/>
            <family val="2"/>
          </rPr>
          <t xml:space="preserve">
The number of this product sold in the 10th month</t>
        </r>
      </text>
    </comment>
    <comment ref="R221" authorId="0" shapeId="0" xr:uid="{00000000-0006-0000-0700-0000A2000000}">
      <text>
        <r>
          <rPr>
            <b/>
            <sz val="9"/>
            <color indexed="81"/>
            <rFont val="Tahoma"/>
            <family val="2"/>
          </rPr>
          <t>Admin:</t>
        </r>
        <r>
          <rPr>
            <sz val="9"/>
            <color indexed="81"/>
            <rFont val="Tahoma"/>
            <family val="2"/>
          </rPr>
          <t xml:space="preserve">
The number of this product sold in the 11th month</t>
        </r>
      </text>
    </comment>
    <comment ref="S221" authorId="0" shapeId="0" xr:uid="{00000000-0006-0000-0700-0000A3000000}">
      <text>
        <r>
          <rPr>
            <b/>
            <sz val="9"/>
            <color indexed="81"/>
            <rFont val="Tahoma"/>
            <family val="2"/>
          </rPr>
          <t>Admin:</t>
        </r>
        <r>
          <rPr>
            <sz val="9"/>
            <color indexed="81"/>
            <rFont val="Tahoma"/>
            <family val="2"/>
          </rPr>
          <t xml:space="preserve">
The number of this product sold in the 12th month</t>
        </r>
      </text>
    </comment>
    <comment ref="E222" authorId="0" shapeId="0" xr:uid="{00000000-0006-0000-0700-0000A4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223" authorId="0" shapeId="0" xr:uid="{00000000-0006-0000-0700-0000A5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237" authorId="0" shapeId="0" xr:uid="{00000000-0006-0000-0700-0000A6000000}">
      <text>
        <r>
          <rPr>
            <b/>
            <sz val="9"/>
            <color indexed="81"/>
            <rFont val="Tahoma"/>
            <family val="2"/>
          </rPr>
          <t>Admin:</t>
        </r>
        <r>
          <rPr>
            <sz val="9"/>
            <color indexed="81"/>
            <rFont val="Tahoma"/>
            <family val="2"/>
          </rPr>
          <t xml:space="preserve">
Put the gross sales amount for your sixth product here</t>
        </r>
      </text>
    </comment>
    <comment ref="H242" authorId="0" shapeId="0" xr:uid="{00000000-0006-0000-0700-0000A7000000}">
      <text>
        <r>
          <rPr>
            <b/>
            <sz val="9"/>
            <color indexed="81"/>
            <rFont val="Tahoma"/>
            <family val="2"/>
          </rPr>
          <t>Admin:</t>
        </r>
        <r>
          <rPr>
            <sz val="9"/>
            <color indexed="81"/>
            <rFont val="Tahoma"/>
            <family val="2"/>
          </rPr>
          <t xml:space="preserve">
The number of this product sold in the first month</t>
        </r>
      </text>
    </comment>
    <comment ref="I242" authorId="0" shapeId="0" xr:uid="{00000000-0006-0000-0700-0000A8000000}">
      <text>
        <r>
          <rPr>
            <b/>
            <sz val="9"/>
            <color indexed="81"/>
            <rFont val="Tahoma"/>
            <family val="2"/>
          </rPr>
          <t>Admin:</t>
        </r>
        <r>
          <rPr>
            <sz val="9"/>
            <color indexed="81"/>
            <rFont val="Tahoma"/>
            <family val="2"/>
          </rPr>
          <t xml:space="preserve">
The number of this product sold in the 2nd month</t>
        </r>
      </text>
    </comment>
    <comment ref="J242" authorId="0" shapeId="0" xr:uid="{00000000-0006-0000-0700-0000A9000000}">
      <text>
        <r>
          <rPr>
            <b/>
            <sz val="9"/>
            <color indexed="81"/>
            <rFont val="Tahoma"/>
            <family val="2"/>
          </rPr>
          <t>Admin:</t>
        </r>
        <r>
          <rPr>
            <sz val="9"/>
            <color indexed="81"/>
            <rFont val="Tahoma"/>
            <family val="2"/>
          </rPr>
          <t xml:space="preserve">
The number of this product sold in the 3rd month</t>
        </r>
      </text>
    </comment>
    <comment ref="K242" authorId="0" shapeId="0" xr:uid="{00000000-0006-0000-0700-0000AA000000}">
      <text>
        <r>
          <rPr>
            <b/>
            <sz val="9"/>
            <color indexed="81"/>
            <rFont val="Tahoma"/>
            <family val="2"/>
          </rPr>
          <t>Admin:</t>
        </r>
        <r>
          <rPr>
            <sz val="9"/>
            <color indexed="81"/>
            <rFont val="Tahoma"/>
            <family val="2"/>
          </rPr>
          <t xml:space="preserve">
The number of this product sold in the 4th month</t>
        </r>
      </text>
    </comment>
    <comment ref="L242" authorId="0" shapeId="0" xr:uid="{00000000-0006-0000-0700-0000AB000000}">
      <text>
        <r>
          <rPr>
            <b/>
            <sz val="9"/>
            <color indexed="81"/>
            <rFont val="Tahoma"/>
            <family val="2"/>
          </rPr>
          <t>Admin:</t>
        </r>
        <r>
          <rPr>
            <sz val="9"/>
            <color indexed="81"/>
            <rFont val="Tahoma"/>
            <family val="2"/>
          </rPr>
          <t xml:space="preserve">
The number of this product sold in the 5th month</t>
        </r>
      </text>
    </comment>
    <comment ref="M242" authorId="0" shapeId="0" xr:uid="{00000000-0006-0000-0700-0000AC000000}">
      <text>
        <r>
          <rPr>
            <b/>
            <sz val="9"/>
            <color indexed="81"/>
            <rFont val="Tahoma"/>
            <family val="2"/>
          </rPr>
          <t>Admin:</t>
        </r>
        <r>
          <rPr>
            <sz val="9"/>
            <color indexed="81"/>
            <rFont val="Tahoma"/>
            <family val="2"/>
          </rPr>
          <t xml:space="preserve">
The number of this product sold in the 6th month</t>
        </r>
      </text>
    </comment>
    <comment ref="N242" authorId="0" shapeId="0" xr:uid="{00000000-0006-0000-0700-0000AD000000}">
      <text>
        <r>
          <rPr>
            <b/>
            <sz val="9"/>
            <color indexed="81"/>
            <rFont val="Tahoma"/>
            <family val="2"/>
          </rPr>
          <t>Admin:</t>
        </r>
        <r>
          <rPr>
            <sz val="9"/>
            <color indexed="81"/>
            <rFont val="Tahoma"/>
            <family val="2"/>
          </rPr>
          <t xml:space="preserve">
The number of this product sold in the 7th month</t>
        </r>
      </text>
    </comment>
    <comment ref="O242" authorId="0" shapeId="0" xr:uid="{00000000-0006-0000-0700-0000AE000000}">
      <text>
        <r>
          <rPr>
            <b/>
            <sz val="9"/>
            <color indexed="81"/>
            <rFont val="Tahoma"/>
            <family val="2"/>
          </rPr>
          <t>Admin:</t>
        </r>
        <r>
          <rPr>
            <sz val="9"/>
            <color indexed="81"/>
            <rFont val="Tahoma"/>
            <family val="2"/>
          </rPr>
          <t xml:space="preserve">
The number of this product sold in the 8th month</t>
        </r>
      </text>
    </comment>
    <comment ref="P242" authorId="0" shapeId="0" xr:uid="{00000000-0006-0000-0700-0000AF000000}">
      <text>
        <r>
          <rPr>
            <b/>
            <sz val="9"/>
            <color indexed="81"/>
            <rFont val="Tahoma"/>
            <family val="2"/>
          </rPr>
          <t>Admin:</t>
        </r>
        <r>
          <rPr>
            <sz val="9"/>
            <color indexed="81"/>
            <rFont val="Tahoma"/>
            <family val="2"/>
          </rPr>
          <t xml:space="preserve">
The number of this product sold in the 9th month</t>
        </r>
      </text>
    </comment>
    <comment ref="Q242" authorId="0" shapeId="0" xr:uid="{00000000-0006-0000-0700-0000B0000000}">
      <text>
        <r>
          <rPr>
            <b/>
            <sz val="9"/>
            <color indexed="81"/>
            <rFont val="Tahoma"/>
            <family val="2"/>
          </rPr>
          <t>Admin:</t>
        </r>
        <r>
          <rPr>
            <sz val="9"/>
            <color indexed="81"/>
            <rFont val="Tahoma"/>
            <family val="2"/>
          </rPr>
          <t xml:space="preserve">
The number of this product sold in the 10th month</t>
        </r>
      </text>
    </comment>
    <comment ref="R242" authorId="0" shapeId="0" xr:uid="{00000000-0006-0000-0700-0000B1000000}">
      <text>
        <r>
          <rPr>
            <b/>
            <sz val="9"/>
            <color indexed="81"/>
            <rFont val="Tahoma"/>
            <family val="2"/>
          </rPr>
          <t>Admin:</t>
        </r>
        <r>
          <rPr>
            <sz val="9"/>
            <color indexed="81"/>
            <rFont val="Tahoma"/>
            <family val="2"/>
          </rPr>
          <t xml:space="preserve">
The number of this product sold in the 11th month</t>
        </r>
      </text>
    </comment>
    <comment ref="S242" authorId="0" shapeId="0" xr:uid="{00000000-0006-0000-0700-0000B2000000}">
      <text>
        <r>
          <rPr>
            <b/>
            <sz val="9"/>
            <color indexed="81"/>
            <rFont val="Tahoma"/>
            <family val="2"/>
          </rPr>
          <t>Admin:</t>
        </r>
        <r>
          <rPr>
            <sz val="9"/>
            <color indexed="81"/>
            <rFont val="Tahoma"/>
            <family val="2"/>
          </rPr>
          <t xml:space="preserve">
The number of this product sold in the 12th month</t>
        </r>
      </text>
    </comment>
    <comment ref="E243" authorId="0" shapeId="0" xr:uid="{00000000-0006-0000-0700-0000B3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244" authorId="0" shapeId="0" xr:uid="{00000000-0006-0000-0700-0000B4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258" authorId="0" shapeId="0" xr:uid="{00000000-0006-0000-0700-0000B5000000}">
      <text>
        <r>
          <rPr>
            <b/>
            <sz val="9"/>
            <color indexed="81"/>
            <rFont val="Tahoma"/>
            <family val="2"/>
          </rPr>
          <t>Admin:</t>
        </r>
        <r>
          <rPr>
            <sz val="9"/>
            <color indexed="81"/>
            <rFont val="Tahoma"/>
            <family val="2"/>
          </rPr>
          <t xml:space="preserve">
Put the gross sales amount for your sixth product here</t>
        </r>
      </text>
    </comment>
    <comment ref="H263" authorId="0" shapeId="0" xr:uid="{00000000-0006-0000-0700-0000B6000000}">
      <text>
        <r>
          <rPr>
            <b/>
            <sz val="9"/>
            <color indexed="81"/>
            <rFont val="Tahoma"/>
            <family val="2"/>
          </rPr>
          <t>Admin:</t>
        </r>
        <r>
          <rPr>
            <sz val="9"/>
            <color indexed="81"/>
            <rFont val="Tahoma"/>
            <family val="2"/>
          </rPr>
          <t xml:space="preserve">
The number of this product sold in the first month</t>
        </r>
      </text>
    </comment>
    <comment ref="I263" authorId="0" shapeId="0" xr:uid="{00000000-0006-0000-0700-0000B7000000}">
      <text>
        <r>
          <rPr>
            <b/>
            <sz val="9"/>
            <color indexed="81"/>
            <rFont val="Tahoma"/>
            <family val="2"/>
          </rPr>
          <t>Admin:</t>
        </r>
        <r>
          <rPr>
            <sz val="9"/>
            <color indexed="81"/>
            <rFont val="Tahoma"/>
            <family val="2"/>
          </rPr>
          <t xml:space="preserve">
The number of this product sold in the 2nd month</t>
        </r>
      </text>
    </comment>
    <comment ref="J263" authorId="0" shapeId="0" xr:uid="{00000000-0006-0000-0700-0000B8000000}">
      <text>
        <r>
          <rPr>
            <b/>
            <sz val="9"/>
            <color indexed="81"/>
            <rFont val="Tahoma"/>
            <family val="2"/>
          </rPr>
          <t>Admin:</t>
        </r>
        <r>
          <rPr>
            <sz val="9"/>
            <color indexed="81"/>
            <rFont val="Tahoma"/>
            <family val="2"/>
          </rPr>
          <t xml:space="preserve">
The number of this product sold in the 3rd month</t>
        </r>
      </text>
    </comment>
    <comment ref="K263" authorId="0" shapeId="0" xr:uid="{00000000-0006-0000-0700-0000B9000000}">
      <text>
        <r>
          <rPr>
            <b/>
            <sz val="9"/>
            <color indexed="81"/>
            <rFont val="Tahoma"/>
            <family val="2"/>
          </rPr>
          <t>Admin:</t>
        </r>
        <r>
          <rPr>
            <sz val="9"/>
            <color indexed="81"/>
            <rFont val="Tahoma"/>
            <family val="2"/>
          </rPr>
          <t xml:space="preserve">
The number of this product sold in the 4th month</t>
        </r>
      </text>
    </comment>
    <comment ref="L263" authorId="0" shapeId="0" xr:uid="{00000000-0006-0000-0700-0000BA000000}">
      <text>
        <r>
          <rPr>
            <b/>
            <sz val="9"/>
            <color indexed="81"/>
            <rFont val="Tahoma"/>
            <family val="2"/>
          </rPr>
          <t>Admin:</t>
        </r>
        <r>
          <rPr>
            <sz val="9"/>
            <color indexed="81"/>
            <rFont val="Tahoma"/>
            <family val="2"/>
          </rPr>
          <t xml:space="preserve">
The number of this product sold in the 5th month</t>
        </r>
      </text>
    </comment>
    <comment ref="M263" authorId="0" shapeId="0" xr:uid="{00000000-0006-0000-0700-0000BB000000}">
      <text>
        <r>
          <rPr>
            <b/>
            <sz val="9"/>
            <color indexed="81"/>
            <rFont val="Tahoma"/>
            <family val="2"/>
          </rPr>
          <t>Admin:</t>
        </r>
        <r>
          <rPr>
            <sz val="9"/>
            <color indexed="81"/>
            <rFont val="Tahoma"/>
            <family val="2"/>
          </rPr>
          <t xml:space="preserve">
The number of this product sold in the 6th month</t>
        </r>
      </text>
    </comment>
    <comment ref="N263" authorId="0" shapeId="0" xr:uid="{00000000-0006-0000-0700-0000BC000000}">
      <text>
        <r>
          <rPr>
            <b/>
            <sz val="9"/>
            <color indexed="81"/>
            <rFont val="Tahoma"/>
            <family val="2"/>
          </rPr>
          <t>Admin:</t>
        </r>
        <r>
          <rPr>
            <sz val="9"/>
            <color indexed="81"/>
            <rFont val="Tahoma"/>
            <family val="2"/>
          </rPr>
          <t xml:space="preserve">
The number of this product sold in the 7th month</t>
        </r>
      </text>
    </comment>
    <comment ref="O263" authorId="0" shapeId="0" xr:uid="{00000000-0006-0000-0700-0000BD000000}">
      <text>
        <r>
          <rPr>
            <b/>
            <sz val="9"/>
            <color indexed="81"/>
            <rFont val="Tahoma"/>
            <family val="2"/>
          </rPr>
          <t>Admin:</t>
        </r>
        <r>
          <rPr>
            <sz val="9"/>
            <color indexed="81"/>
            <rFont val="Tahoma"/>
            <family val="2"/>
          </rPr>
          <t xml:space="preserve">
The number of this product sold in the 8th month</t>
        </r>
      </text>
    </comment>
    <comment ref="P263" authorId="0" shapeId="0" xr:uid="{00000000-0006-0000-0700-0000BE000000}">
      <text>
        <r>
          <rPr>
            <b/>
            <sz val="9"/>
            <color indexed="81"/>
            <rFont val="Tahoma"/>
            <family val="2"/>
          </rPr>
          <t>Admin:</t>
        </r>
        <r>
          <rPr>
            <sz val="9"/>
            <color indexed="81"/>
            <rFont val="Tahoma"/>
            <family val="2"/>
          </rPr>
          <t xml:space="preserve">
The number of this product sold in the 9th month</t>
        </r>
      </text>
    </comment>
    <comment ref="Q263" authorId="0" shapeId="0" xr:uid="{00000000-0006-0000-0700-0000BF000000}">
      <text>
        <r>
          <rPr>
            <b/>
            <sz val="9"/>
            <color indexed="81"/>
            <rFont val="Tahoma"/>
            <family val="2"/>
          </rPr>
          <t>Admin:</t>
        </r>
        <r>
          <rPr>
            <sz val="9"/>
            <color indexed="81"/>
            <rFont val="Tahoma"/>
            <family val="2"/>
          </rPr>
          <t xml:space="preserve">
The number of this product sold in the 10th month</t>
        </r>
      </text>
    </comment>
    <comment ref="R263" authorId="0" shapeId="0" xr:uid="{00000000-0006-0000-0700-0000C0000000}">
      <text>
        <r>
          <rPr>
            <b/>
            <sz val="9"/>
            <color indexed="81"/>
            <rFont val="Tahoma"/>
            <family val="2"/>
          </rPr>
          <t>Admin:</t>
        </r>
        <r>
          <rPr>
            <sz val="9"/>
            <color indexed="81"/>
            <rFont val="Tahoma"/>
            <family val="2"/>
          </rPr>
          <t xml:space="preserve">
The number of this product sold in the 11th month</t>
        </r>
      </text>
    </comment>
    <comment ref="S263" authorId="0" shapeId="0" xr:uid="{00000000-0006-0000-0700-0000C1000000}">
      <text>
        <r>
          <rPr>
            <b/>
            <sz val="9"/>
            <color indexed="81"/>
            <rFont val="Tahoma"/>
            <family val="2"/>
          </rPr>
          <t>Admin:</t>
        </r>
        <r>
          <rPr>
            <sz val="9"/>
            <color indexed="81"/>
            <rFont val="Tahoma"/>
            <family val="2"/>
          </rPr>
          <t xml:space="preserve">
The number of this product sold in the 12th month</t>
        </r>
      </text>
    </comment>
    <comment ref="E264" authorId="0" shapeId="0" xr:uid="{00000000-0006-0000-0700-0000C2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265" authorId="0" shapeId="0" xr:uid="{00000000-0006-0000-0700-0000C3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279" authorId="0" shapeId="0" xr:uid="{00000000-0006-0000-0700-0000C4000000}">
      <text>
        <r>
          <rPr>
            <b/>
            <sz val="9"/>
            <color indexed="81"/>
            <rFont val="Tahoma"/>
            <family val="2"/>
          </rPr>
          <t>Admin:</t>
        </r>
        <r>
          <rPr>
            <sz val="9"/>
            <color indexed="81"/>
            <rFont val="Tahoma"/>
            <family val="2"/>
          </rPr>
          <t xml:space="preserve">
Put the gross sales amount for your sixth product here</t>
        </r>
      </text>
    </comment>
    <comment ref="H284" authorId="0" shapeId="0" xr:uid="{00000000-0006-0000-0700-0000C5000000}">
      <text>
        <r>
          <rPr>
            <b/>
            <sz val="9"/>
            <color indexed="81"/>
            <rFont val="Tahoma"/>
            <family val="2"/>
          </rPr>
          <t>Admin:</t>
        </r>
        <r>
          <rPr>
            <sz val="9"/>
            <color indexed="81"/>
            <rFont val="Tahoma"/>
            <family val="2"/>
          </rPr>
          <t xml:space="preserve">
The number of this product sold in the first month</t>
        </r>
      </text>
    </comment>
    <comment ref="I284" authorId="0" shapeId="0" xr:uid="{00000000-0006-0000-0700-0000C6000000}">
      <text>
        <r>
          <rPr>
            <b/>
            <sz val="9"/>
            <color indexed="81"/>
            <rFont val="Tahoma"/>
            <family val="2"/>
          </rPr>
          <t>Admin:</t>
        </r>
        <r>
          <rPr>
            <sz val="9"/>
            <color indexed="81"/>
            <rFont val="Tahoma"/>
            <family val="2"/>
          </rPr>
          <t xml:space="preserve">
The number of this product sold in the 2nd month</t>
        </r>
      </text>
    </comment>
    <comment ref="J284" authorId="0" shapeId="0" xr:uid="{00000000-0006-0000-0700-0000C7000000}">
      <text>
        <r>
          <rPr>
            <b/>
            <sz val="9"/>
            <color indexed="81"/>
            <rFont val="Tahoma"/>
            <family val="2"/>
          </rPr>
          <t>Admin:</t>
        </r>
        <r>
          <rPr>
            <sz val="9"/>
            <color indexed="81"/>
            <rFont val="Tahoma"/>
            <family val="2"/>
          </rPr>
          <t xml:space="preserve">
The number of this product sold in the 3rd month</t>
        </r>
      </text>
    </comment>
    <comment ref="K284" authorId="0" shapeId="0" xr:uid="{00000000-0006-0000-0700-0000C8000000}">
      <text>
        <r>
          <rPr>
            <b/>
            <sz val="9"/>
            <color indexed="81"/>
            <rFont val="Tahoma"/>
            <family val="2"/>
          </rPr>
          <t>Admin:</t>
        </r>
        <r>
          <rPr>
            <sz val="9"/>
            <color indexed="81"/>
            <rFont val="Tahoma"/>
            <family val="2"/>
          </rPr>
          <t xml:space="preserve">
The number of this product sold in the 4th month</t>
        </r>
      </text>
    </comment>
    <comment ref="L284" authorId="0" shapeId="0" xr:uid="{00000000-0006-0000-0700-0000C9000000}">
      <text>
        <r>
          <rPr>
            <b/>
            <sz val="9"/>
            <color indexed="81"/>
            <rFont val="Tahoma"/>
            <family val="2"/>
          </rPr>
          <t>Admin:</t>
        </r>
        <r>
          <rPr>
            <sz val="9"/>
            <color indexed="81"/>
            <rFont val="Tahoma"/>
            <family val="2"/>
          </rPr>
          <t xml:space="preserve">
The number of this product sold in the 5th month</t>
        </r>
      </text>
    </comment>
    <comment ref="M284" authorId="0" shapeId="0" xr:uid="{00000000-0006-0000-0700-0000CA000000}">
      <text>
        <r>
          <rPr>
            <b/>
            <sz val="9"/>
            <color indexed="81"/>
            <rFont val="Tahoma"/>
            <family val="2"/>
          </rPr>
          <t>Admin:</t>
        </r>
        <r>
          <rPr>
            <sz val="9"/>
            <color indexed="81"/>
            <rFont val="Tahoma"/>
            <family val="2"/>
          </rPr>
          <t xml:space="preserve">
The number of this product sold in the 6th month</t>
        </r>
      </text>
    </comment>
    <comment ref="N284" authorId="0" shapeId="0" xr:uid="{00000000-0006-0000-0700-0000CB000000}">
      <text>
        <r>
          <rPr>
            <b/>
            <sz val="9"/>
            <color indexed="81"/>
            <rFont val="Tahoma"/>
            <family val="2"/>
          </rPr>
          <t>Admin:</t>
        </r>
        <r>
          <rPr>
            <sz val="9"/>
            <color indexed="81"/>
            <rFont val="Tahoma"/>
            <family val="2"/>
          </rPr>
          <t xml:space="preserve">
The number of this product sold in the 7th month</t>
        </r>
      </text>
    </comment>
    <comment ref="O284" authorId="0" shapeId="0" xr:uid="{00000000-0006-0000-0700-0000CC000000}">
      <text>
        <r>
          <rPr>
            <b/>
            <sz val="9"/>
            <color indexed="81"/>
            <rFont val="Tahoma"/>
            <family val="2"/>
          </rPr>
          <t>Admin:</t>
        </r>
        <r>
          <rPr>
            <sz val="9"/>
            <color indexed="81"/>
            <rFont val="Tahoma"/>
            <family val="2"/>
          </rPr>
          <t xml:space="preserve">
The number of this product sold in the 8th month</t>
        </r>
      </text>
    </comment>
    <comment ref="P284" authorId="0" shapeId="0" xr:uid="{00000000-0006-0000-0700-0000CD000000}">
      <text>
        <r>
          <rPr>
            <b/>
            <sz val="9"/>
            <color indexed="81"/>
            <rFont val="Tahoma"/>
            <family val="2"/>
          </rPr>
          <t>Admin:</t>
        </r>
        <r>
          <rPr>
            <sz val="9"/>
            <color indexed="81"/>
            <rFont val="Tahoma"/>
            <family val="2"/>
          </rPr>
          <t xml:space="preserve">
The number of this product sold in the 9th month</t>
        </r>
      </text>
    </comment>
    <comment ref="Q284" authorId="0" shapeId="0" xr:uid="{00000000-0006-0000-0700-0000CE000000}">
      <text>
        <r>
          <rPr>
            <b/>
            <sz val="9"/>
            <color indexed="81"/>
            <rFont val="Tahoma"/>
            <family val="2"/>
          </rPr>
          <t>Admin:</t>
        </r>
        <r>
          <rPr>
            <sz val="9"/>
            <color indexed="81"/>
            <rFont val="Tahoma"/>
            <family val="2"/>
          </rPr>
          <t xml:space="preserve">
The number of this product sold in the 10th month</t>
        </r>
      </text>
    </comment>
    <comment ref="R284" authorId="0" shapeId="0" xr:uid="{00000000-0006-0000-0700-0000CF000000}">
      <text>
        <r>
          <rPr>
            <b/>
            <sz val="9"/>
            <color indexed="81"/>
            <rFont val="Tahoma"/>
            <family val="2"/>
          </rPr>
          <t>Admin:</t>
        </r>
        <r>
          <rPr>
            <sz val="9"/>
            <color indexed="81"/>
            <rFont val="Tahoma"/>
            <family val="2"/>
          </rPr>
          <t xml:space="preserve">
The number of this product sold in the 11th month</t>
        </r>
      </text>
    </comment>
    <comment ref="S284" authorId="0" shapeId="0" xr:uid="{00000000-0006-0000-0700-0000D0000000}">
      <text>
        <r>
          <rPr>
            <b/>
            <sz val="9"/>
            <color indexed="81"/>
            <rFont val="Tahoma"/>
            <family val="2"/>
          </rPr>
          <t>Admin:</t>
        </r>
        <r>
          <rPr>
            <sz val="9"/>
            <color indexed="81"/>
            <rFont val="Tahoma"/>
            <family val="2"/>
          </rPr>
          <t xml:space="preserve">
The number of this product sold in the 12th month</t>
        </r>
      </text>
    </comment>
    <comment ref="E285" authorId="0" shapeId="0" xr:uid="{00000000-0006-0000-0700-0000D1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286" authorId="0" shapeId="0" xr:uid="{00000000-0006-0000-0700-0000D2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303" authorId="0" shapeId="0" xr:uid="{00000000-0006-0000-0700-0000D3000000}">
      <text>
        <r>
          <rPr>
            <b/>
            <sz val="9"/>
            <color indexed="81"/>
            <rFont val="Tahoma"/>
            <family val="2"/>
          </rPr>
          <t>Admin:</t>
        </r>
        <r>
          <rPr>
            <sz val="9"/>
            <color indexed="81"/>
            <rFont val="Tahoma"/>
            <family val="2"/>
          </rPr>
          <t xml:space="preserve">
Put the gross sales amount for your seventh product here</t>
        </r>
      </text>
    </comment>
    <comment ref="E304" authorId="0" shapeId="0" xr:uid="{00000000-0006-0000-0700-0000D4000000}">
      <text>
        <r>
          <rPr>
            <b/>
            <sz val="9"/>
            <color indexed="81"/>
            <rFont val="Tahoma"/>
            <family val="2"/>
          </rPr>
          <t>Admin:</t>
        </r>
        <r>
          <rPr>
            <sz val="9"/>
            <color indexed="81"/>
            <rFont val="Tahoma"/>
            <family val="2"/>
          </rPr>
          <t xml:space="preserve">
put all the costs associated with the selling of one product here - for example the cost of purchasing an individual product that you sell, any commissions, shipping charges</t>
        </r>
      </text>
    </comment>
    <comment ref="H308" authorId="0" shapeId="0" xr:uid="{00000000-0006-0000-0700-0000D5000000}">
      <text>
        <r>
          <rPr>
            <b/>
            <sz val="9"/>
            <color indexed="81"/>
            <rFont val="Tahoma"/>
            <family val="2"/>
          </rPr>
          <t>Admin:</t>
        </r>
        <r>
          <rPr>
            <sz val="9"/>
            <color indexed="81"/>
            <rFont val="Tahoma"/>
            <family val="2"/>
          </rPr>
          <t xml:space="preserve">
The number of this product sold in the first month</t>
        </r>
      </text>
    </comment>
    <comment ref="I308" authorId="0" shapeId="0" xr:uid="{00000000-0006-0000-0700-0000D6000000}">
      <text>
        <r>
          <rPr>
            <b/>
            <sz val="9"/>
            <color indexed="81"/>
            <rFont val="Tahoma"/>
            <family val="2"/>
          </rPr>
          <t>Admin:</t>
        </r>
        <r>
          <rPr>
            <sz val="9"/>
            <color indexed="81"/>
            <rFont val="Tahoma"/>
            <family val="2"/>
          </rPr>
          <t xml:space="preserve">
The number of this product sold in the 2nd month</t>
        </r>
      </text>
    </comment>
    <comment ref="J308" authorId="0" shapeId="0" xr:uid="{00000000-0006-0000-0700-0000D7000000}">
      <text>
        <r>
          <rPr>
            <b/>
            <sz val="9"/>
            <color indexed="81"/>
            <rFont val="Tahoma"/>
            <family val="2"/>
          </rPr>
          <t>Admin:</t>
        </r>
        <r>
          <rPr>
            <sz val="9"/>
            <color indexed="81"/>
            <rFont val="Tahoma"/>
            <family val="2"/>
          </rPr>
          <t xml:space="preserve">
The number of this product sold in the 3rd month</t>
        </r>
      </text>
    </comment>
    <comment ref="K308" authorId="0" shapeId="0" xr:uid="{00000000-0006-0000-0700-0000D8000000}">
      <text>
        <r>
          <rPr>
            <b/>
            <sz val="9"/>
            <color indexed="81"/>
            <rFont val="Tahoma"/>
            <family val="2"/>
          </rPr>
          <t>Admin:</t>
        </r>
        <r>
          <rPr>
            <sz val="9"/>
            <color indexed="81"/>
            <rFont val="Tahoma"/>
            <family val="2"/>
          </rPr>
          <t xml:space="preserve">
The number of this product sold in the 4th month</t>
        </r>
      </text>
    </comment>
    <comment ref="L308" authorId="0" shapeId="0" xr:uid="{00000000-0006-0000-0700-0000D9000000}">
      <text>
        <r>
          <rPr>
            <b/>
            <sz val="9"/>
            <color indexed="81"/>
            <rFont val="Tahoma"/>
            <family val="2"/>
          </rPr>
          <t>Admin:</t>
        </r>
        <r>
          <rPr>
            <sz val="9"/>
            <color indexed="81"/>
            <rFont val="Tahoma"/>
            <family val="2"/>
          </rPr>
          <t xml:space="preserve">
The number of this product sold in the 5th month</t>
        </r>
      </text>
    </comment>
    <comment ref="M308" authorId="0" shapeId="0" xr:uid="{00000000-0006-0000-0700-0000DA000000}">
      <text>
        <r>
          <rPr>
            <b/>
            <sz val="9"/>
            <color indexed="81"/>
            <rFont val="Tahoma"/>
            <family val="2"/>
          </rPr>
          <t>Admin:</t>
        </r>
        <r>
          <rPr>
            <sz val="9"/>
            <color indexed="81"/>
            <rFont val="Tahoma"/>
            <family val="2"/>
          </rPr>
          <t xml:space="preserve">
The number of this product sold in the 6th month</t>
        </r>
      </text>
    </comment>
    <comment ref="N308" authorId="0" shapeId="0" xr:uid="{00000000-0006-0000-0700-0000DB000000}">
      <text>
        <r>
          <rPr>
            <b/>
            <sz val="9"/>
            <color indexed="81"/>
            <rFont val="Tahoma"/>
            <family val="2"/>
          </rPr>
          <t>Admin:</t>
        </r>
        <r>
          <rPr>
            <sz val="9"/>
            <color indexed="81"/>
            <rFont val="Tahoma"/>
            <family val="2"/>
          </rPr>
          <t xml:space="preserve">
The number of this product sold in the 7th month</t>
        </r>
      </text>
    </comment>
    <comment ref="O308" authorId="0" shapeId="0" xr:uid="{00000000-0006-0000-0700-0000DC000000}">
      <text>
        <r>
          <rPr>
            <b/>
            <sz val="9"/>
            <color indexed="81"/>
            <rFont val="Tahoma"/>
            <family val="2"/>
          </rPr>
          <t>Admin:</t>
        </r>
        <r>
          <rPr>
            <sz val="9"/>
            <color indexed="81"/>
            <rFont val="Tahoma"/>
            <family val="2"/>
          </rPr>
          <t xml:space="preserve">
The number of this product sold in the 8th month</t>
        </r>
      </text>
    </comment>
    <comment ref="P308" authorId="0" shapeId="0" xr:uid="{00000000-0006-0000-0700-0000DD000000}">
      <text>
        <r>
          <rPr>
            <b/>
            <sz val="9"/>
            <color indexed="81"/>
            <rFont val="Tahoma"/>
            <family val="2"/>
          </rPr>
          <t>Admin:</t>
        </r>
        <r>
          <rPr>
            <sz val="9"/>
            <color indexed="81"/>
            <rFont val="Tahoma"/>
            <family val="2"/>
          </rPr>
          <t xml:space="preserve">
The number of this product sold in the 9th month</t>
        </r>
      </text>
    </comment>
    <comment ref="Q308" authorId="0" shapeId="0" xr:uid="{00000000-0006-0000-0700-0000DE000000}">
      <text>
        <r>
          <rPr>
            <b/>
            <sz val="9"/>
            <color indexed="81"/>
            <rFont val="Tahoma"/>
            <family val="2"/>
          </rPr>
          <t>Admin:</t>
        </r>
        <r>
          <rPr>
            <sz val="9"/>
            <color indexed="81"/>
            <rFont val="Tahoma"/>
            <family val="2"/>
          </rPr>
          <t xml:space="preserve">
The number of this product sold in the 10th month</t>
        </r>
      </text>
    </comment>
    <comment ref="R308" authorId="0" shapeId="0" xr:uid="{00000000-0006-0000-0700-0000DF000000}">
      <text>
        <r>
          <rPr>
            <b/>
            <sz val="9"/>
            <color indexed="81"/>
            <rFont val="Tahoma"/>
            <family val="2"/>
          </rPr>
          <t>Admin:</t>
        </r>
        <r>
          <rPr>
            <sz val="9"/>
            <color indexed="81"/>
            <rFont val="Tahoma"/>
            <family val="2"/>
          </rPr>
          <t xml:space="preserve">
The number of this product sold in the 11th month</t>
        </r>
      </text>
    </comment>
    <comment ref="S308" authorId="0" shapeId="0" xr:uid="{00000000-0006-0000-0700-0000E0000000}">
      <text>
        <r>
          <rPr>
            <b/>
            <sz val="9"/>
            <color indexed="81"/>
            <rFont val="Tahoma"/>
            <family val="2"/>
          </rPr>
          <t>Admin:</t>
        </r>
        <r>
          <rPr>
            <sz val="9"/>
            <color indexed="81"/>
            <rFont val="Tahoma"/>
            <family val="2"/>
          </rPr>
          <t xml:space="preserve">
The number of this product sold in the 12th month</t>
        </r>
      </text>
    </comment>
    <comment ref="E309" authorId="0" shapeId="0" xr:uid="{00000000-0006-0000-0700-0000E1000000}">
      <text>
        <r>
          <rPr>
            <b/>
            <sz val="9"/>
            <color indexed="81"/>
            <rFont val="Tahoma"/>
            <family val="2"/>
          </rPr>
          <t>Admin:</t>
        </r>
        <r>
          <rPr>
            <sz val="9"/>
            <color indexed="81"/>
            <rFont val="Tahoma"/>
            <family val="2"/>
          </rPr>
          <t xml:space="preserve">
This is the annualized growth rate divided by 12  and is applied to the previous month</t>
        </r>
      </text>
    </comment>
    <comment ref="E310" authorId="0" shapeId="0" xr:uid="{00000000-0006-0000-0700-0000E2000000}">
      <text>
        <r>
          <rPr>
            <b/>
            <sz val="9"/>
            <color indexed="81"/>
            <rFont val="Tahoma"/>
            <family val="2"/>
          </rPr>
          <t>Admin:</t>
        </r>
        <r>
          <rPr>
            <sz val="9"/>
            <color indexed="81"/>
            <rFont val="Tahoma"/>
            <family val="2"/>
          </rPr>
          <t xml:space="preserve">
This is the annualized growth rate divided by 12  and is applied to the previous month</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G8" authorId="0" shapeId="0" xr:uid="{00000000-0006-0000-0800-000001000000}">
      <text>
        <r>
          <rPr>
            <b/>
            <sz val="9"/>
            <color indexed="81"/>
            <rFont val="Tahoma"/>
            <family val="2"/>
          </rPr>
          <t>Admin:</t>
        </r>
        <r>
          <rPr>
            <sz val="9"/>
            <color indexed="81"/>
            <rFont val="Tahoma"/>
            <family val="2"/>
          </rPr>
          <t xml:space="preserve">
put in the % you expect to collect from for your sales within 30 days after date of sale</t>
        </r>
      </text>
    </comment>
    <comment ref="G9" authorId="0" shapeId="0" xr:uid="{00000000-0006-0000-0800-000002000000}">
      <text>
        <r>
          <rPr>
            <b/>
            <sz val="9"/>
            <color indexed="81"/>
            <rFont val="Tahoma"/>
            <family val="2"/>
          </rPr>
          <t>Admin:</t>
        </r>
        <r>
          <rPr>
            <sz val="9"/>
            <color indexed="81"/>
            <rFont val="Tahoma"/>
            <family val="2"/>
          </rPr>
          <t xml:space="preserve">
put in the % you expect to collect from for your sales after 30 days but before 60 days after date of sale</t>
        </r>
      </text>
    </comment>
    <comment ref="G10" authorId="0" shapeId="0" xr:uid="{00000000-0006-0000-0800-000003000000}">
      <text>
        <r>
          <rPr>
            <b/>
            <sz val="9"/>
            <color indexed="81"/>
            <rFont val="Tahoma"/>
            <family val="2"/>
          </rPr>
          <t>Admin:</t>
        </r>
        <r>
          <rPr>
            <sz val="9"/>
            <color indexed="81"/>
            <rFont val="Tahoma"/>
            <family val="2"/>
          </rPr>
          <t xml:space="preserve">
put in the % you expect to collect from for your sales after 60 days after date of sale</t>
        </r>
      </text>
    </comment>
    <comment ref="G15" authorId="0" shapeId="0" xr:uid="{00000000-0006-0000-0800-000004000000}">
      <text>
        <r>
          <rPr>
            <b/>
            <sz val="9"/>
            <color indexed="81"/>
            <rFont val="Tahoma"/>
            <family val="2"/>
          </rPr>
          <t>Admin:</t>
        </r>
        <r>
          <rPr>
            <sz val="9"/>
            <color indexed="81"/>
            <rFont val="Tahoma"/>
            <family val="2"/>
          </rPr>
          <t xml:space="preserve">
put in the expected % of your suppliers that will be paid within 30 days from date of purchases</t>
        </r>
      </text>
    </comment>
    <comment ref="G16" authorId="0" shapeId="0" xr:uid="{00000000-0006-0000-0800-000005000000}">
      <text>
        <r>
          <rPr>
            <b/>
            <sz val="9"/>
            <color indexed="81"/>
            <rFont val="Tahoma"/>
            <family val="2"/>
          </rPr>
          <t>Admin:</t>
        </r>
        <r>
          <rPr>
            <sz val="9"/>
            <color indexed="81"/>
            <rFont val="Tahoma"/>
            <family val="2"/>
          </rPr>
          <t xml:space="preserve">
put in the expected % of your suppliers that will be paid after 30 days but before 60 days from date of purchases</t>
        </r>
      </text>
    </comment>
    <comment ref="G17" authorId="0" shapeId="0" xr:uid="{00000000-0006-0000-0800-000006000000}">
      <text>
        <r>
          <rPr>
            <b/>
            <sz val="9"/>
            <color indexed="81"/>
            <rFont val="Tahoma"/>
            <family val="2"/>
          </rPr>
          <t>Admin:</t>
        </r>
        <r>
          <rPr>
            <sz val="9"/>
            <color indexed="81"/>
            <rFont val="Tahoma"/>
            <family val="2"/>
          </rPr>
          <t xml:space="preserve">
put in the expected % of your suppliers that will be paid after 60 days from date of purchases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John Doyle</author>
    <author>Admin</author>
  </authors>
  <commentList>
    <comment ref="E8" authorId="0" shapeId="0" xr:uid="{00000000-0006-0000-0B00-000001000000}">
      <text>
        <r>
          <rPr>
            <b/>
            <sz val="9"/>
            <color indexed="81"/>
            <rFont val="Tahoma"/>
            <family val="2"/>
          </rPr>
          <t>John Doyle:</t>
        </r>
        <r>
          <rPr>
            <sz val="9"/>
            <color indexed="81"/>
            <rFont val="Tahoma"/>
            <family val="2"/>
          </rPr>
          <t xml:space="preserve">
Revised starting cash to be net of start up expenses deducted from initial total cash in
</t>
        </r>
      </text>
    </comment>
    <comment ref="E20" authorId="0" shapeId="0" xr:uid="{00000000-0006-0000-0B00-000002000000}">
      <text>
        <r>
          <rPr>
            <b/>
            <sz val="9"/>
            <color indexed="81"/>
            <rFont val="Tahoma"/>
            <family val="2"/>
          </rPr>
          <t>Admin:
Example: If you purchase extra inventory to ramp up for a special sale, or because the cost is lower, enter that amount in the appropriate month</t>
        </r>
        <r>
          <rPr>
            <sz val="9"/>
            <color indexed="81"/>
            <rFont val="Tahoma"/>
            <family val="2"/>
          </rPr>
          <t xml:space="preserve">
</t>
        </r>
      </text>
    </comment>
    <comment ref="F64" authorId="1" shapeId="0" xr:uid="{00000000-0006-0000-0B00-000003000000}">
      <text>
        <r>
          <rPr>
            <b/>
            <sz val="9"/>
            <color indexed="81"/>
            <rFont val="Tahoma"/>
            <family val="2"/>
          </rPr>
          <t>Admin:</t>
        </r>
        <r>
          <rPr>
            <sz val="9"/>
            <color indexed="81"/>
            <rFont val="Tahoma"/>
            <family val="2"/>
          </rPr>
          <t xml:space="preserve">
first step if amount is owed on line and monthly cash flow is positive, then we go farther</t>
        </r>
      </text>
    </comment>
    <comment ref="F65" authorId="1" shapeId="0" xr:uid="{00000000-0006-0000-0B00-000004000000}">
      <text>
        <r>
          <rPr>
            <b/>
            <sz val="9"/>
            <color indexed="81"/>
            <rFont val="Tahoma"/>
            <family val="2"/>
          </rPr>
          <t>Admin:</t>
        </r>
        <r>
          <rPr>
            <sz val="9"/>
            <color indexed="81"/>
            <rFont val="Tahoma"/>
            <family val="2"/>
          </rPr>
          <t xml:space="preserve">
checks to see if mincash threshold is required, if so then subtracts mincash from operating cash</t>
        </r>
      </text>
    </comment>
    <comment ref="F66" authorId="1" shapeId="0" xr:uid="{00000000-0006-0000-0B00-000005000000}">
      <text>
        <r>
          <rPr>
            <b/>
            <sz val="9"/>
            <color indexed="81"/>
            <rFont val="Tahoma"/>
            <family val="2"/>
          </rPr>
          <t>Admin:</t>
        </r>
        <r>
          <rPr>
            <sz val="9"/>
            <color indexed="81"/>
            <rFont val="Tahoma"/>
            <family val="2"/>
          </rPr>
          <t xml:space="preserve">
If the minumum reduction % is set to "0", then no reduction is calculated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E64" authorId="0" shapeId="0" xr:uid="{00000000-0006-0000-0F00-000001000000}">
      <text>
        <r>
          <rPr>
            <b/>
            <sz val="9"/>
            <color indexed="81"/>
            <rFont val="Tahoma"/>
            <family val="2"/>
          </rPr>
          <t>Admin:</t>
        </r>
        <r>
          <rPr>
            <sz val="9"/>
            <color indexed="81"/>
            <rFont val="Tahoma"/>
            <family val="2"/>
          </rPr>
          <t xml:space="preserve">
first step if monthly cash flow is positive, then we go farther</t>
        </r>
      </text>
    </comment>
    <comment ref="E65" authorId="0" shapeId="0" xr:uid="{00000000-0006-0000-0F00-000002000000}">
      <text>
        <r>
          <rPr>
            <b/>
            <sz val="9"/>
            <color indexed="81"/>
            <rFont val="Tahoma"/>
            <family val="2"/>
          </rPr>
          <t>Admin:</t>
        </r>
        <r>
          <rPr>
            <sz val="9"/>
            <color indexed="81"/>
            <rFont val="Tahoma"/>
            <family val="2"/>
          </rPr>
          <t xml:space="preserve">
checks to see if mincash threshold is required, if so then subtracts mincash from operating cash</t>
        </r>
      </text>
    </comment>
    <comment ref="E66" authorId="0" shapeId="0" xr:uid="{00000000-0006-0000-0F00-000003000000}">
      <text>
        <r>
          <rPr>
            <b/>
            <sz val="9"/>
            <color indexed="81"/>
            <rFont val="Tahoma"/>
            <family val="2"/>
          </rPr>
          <t>Admin:</t>
        </r>
        <r>
          <rPr>
            <sz val="9"/>
            <color indexed="81"/>
            <rFont val="Tahoma"/>
            <family val="2"/>
          </rPr>
          <t xml:space="preserve">
If the minumum reduction % is set to "0", then no reduction is calculated</t>
        </r>
      </text>
    </comment>
  </commentList>
</comments>
</file>

<file path=xl/sharedStrings.xml><?xml version="1.0" encoding="utf-8"?>
<sst xmlns="http://schemas.openxmlformats.org/spreadsheetml/2006/main" count="1286" uniqueCount="420">
  <si>
    <t>Additional Asset Purchases Year 2</t>
  </si>
  <si>
    <t>Additional Asset Purchases Year 3</t>
  </si>
  <si>
    <t>paydown</t>
  </si>
  <si>
    <t>if cash flow + we go farther</t>
  </si>
  <si>
    <t>if mincash is required sets amount available to reduce</t>
  </si>
  <si>
    <t>if minred req, sets amount, else cash flow or mincash</t>
  </si>
  <si>
    <t>balance on line?</t>
  </si>
  <si>
    <t>Month</t>
  </si>
  <si>
    <t>Monthly Cash Flow</t>
  </si>
  <si>
    <t>Cumulative Cash Flow</t>
  </si>
  <si>
    <t>Line of Credit Paydown % from excess cash flow</t>
  </si>
  <si>
    <t>State Unemployment  and Training Tax (SUTA)</t>
  </si>
  <si>
    <t>California State Disability Tax</t>
  </si>
  <si>
    <t>Owners</t>
  </si>
  <si>
    <t>Total Salaried</t>
  </si>
  <si>
    <t>Hours Weekly</t>
  </si>
  <si>
    <t>Rate/Hour</t>
  </si>
  <si>
    <t>Salaried Job Title</t>
  </si>
  <si>
    <t>Year Started</t>
  </si>
  <si>
    <t>Monthly Salary</t>
  </si>
  <si>
    <t>Percent Change Year over Year</t>
  </si>
  <si>
    <t>Full Time Hourly Job Title</t>
  </si>
  <si>
    <t>Total Full Time</t>
  </si>
  <si>
    <t>Part time Hourly Job Title</t>
  </si>
  <si>
    <t>Total Part time Hourly</t>
  </si>
  <si>
    <t>Add the individual employees' wage information below</t>
  </si>
  <si>
    <t>(1, 2, or 3)</t>
  </si>
  <si>
    <t>Total of Multi-Products</t>
  </si>
  <si>
    <t>Projected Revenue Year 1</t>
  </si>
  <si>
    <t>Variable Costs Year 1</t>
  </si>
  <si>
    <t>Projected Revenue Year 2</t>
  </si>
  <si>
    <t>Variable Costs Year 2</t>
  </si>
  <si>
    <t>Projected Revenue Year 3</t>
  </si>
  <si>
    <t>Variable Costs Year 3</t>
  </si>
  <si>
    <t>Total of Multi-Product</t>
  </si>
  <si>
    <t>Final line paydown Amount</t>
  </si>
  <si>
    <t>Projected Cash Flow Statement - Year 3</t>
  </si>
  <si>
    <t>End of Year 3</t>
  </si>
  <si>
    <t>End of Year 2</t>
  </si>
  <si>
    <t>Projected Income Statement - Year 3</t>
  </si>
  <si>
    <t>End of Year 1</t>
  </si>
  <si>
    <t>Projected Cash Flow Statement - Year 2</t>
  </si>
  <si>
    <t>Projected Income Statement - Year 2</t>
  </si>
  <si>
    <t>Opening Statement</t>
  </si>
  <si>
    <t>Projected Cash Flow Statement - Year 1</t>
  </si>
  <si>
    <t>Projected Income Statement - Year 1</t>
  </si>
  <si>
    <t>Starting Inventory</t>
  </si>
  <si>
    <t>Inventory Used</t>
  </si>
  <si>
    <t>Inventory Added</t>
  </si>
  <si>
    <t>Inventory Replaced</t>
  </si>
  <si>
    <t>Ending Inventory</t>
  </si>
  <si>
    <t>Minimum Inventory Level Year 1</t>
  </si>
  <si>
    <t>Minimum Inventory Level Year 2</t>
  </si>
  <si>
    <t>Minimum Inventory Level Year 3</t>
  </si>
  <si>
    <t>Required Start-Up Funds</t>
  </si>
  <si>
    <t>SCORE LA Financial Projection Model</t>
  </si>
  <si>
    <t>Monthly - Year 1</t>
  </si>
  <si>
    <t>Monthly - Year 2</t>
  </si>
  <si>
    <t>Monthly - Year 3</t>
  </si>
  <si>
    <t>Balance Sheet - Year 1</t>
  </si>
  <si>
    <t>Balance Sheet - Year 2</t>
  </si>
  <si>
    <t>Balance Sheet - Year 3</t>
  </si>
  <si>
    <t>Labor</t>
  </si>
  <si>
    <t>Shipping</t>
  </si>
  <si>
    <t>% Commission</t>
  </si>
  <si>
    <t>Raw materials/parts</t>
  </si>
  <si>
    <t>Commission costs</t>
  </si>
  <si>
    <t>Product/Service 15</t>
  </si>
  <si>
    <t>Product/Service 16</t>
  </si>
  <si>
    <t>Product/Service 17</t>
  </si>
  <si>
    <t>Product/Service 18</t>
  </si>
  <si>
    <t>Product/Service 19</t>
  </si>
  <si>
    <t>Product/Service 20</t>
  </si>
  <si>
    <t>Additional Investment</t>
  </si>
  <si>
    <t>Additional Asset Purchases</t>
  </si>
  <si>
    <t>Remember, no computer can tell whether your projections are truly well-constructed, only a human can do that.</t>
  </si>
  <si>
    <t>But these tests can at least look for values that are critically out of range.</t>
  </si>
  <si>
    <t>Owner's Compensation Lower Limit Check</t>
  </si>
  <si>
    <t>Owner's Compensation Upper Limit Check</t>
  </si>
  <si>
    <t>Advertising Expense Levels as a Percent of Sales</t>
  </si>
  <si>
    <t>Profitability as a Percent of Sales</t>
  </si>
  <si>
    <t>Cash Flow Statement</t>
  </si>
  <si>
    <t>Accounts Receivable Ratio to Sales</t>
  </si>
  <si>
    <t>Balance Sheet</t>
  </si>
  <si>
    <t>Does the Base Period Balance Sheet Balance?</t>
  </si>
  <si>
    <t>Does the Final Balance Sheet Balance</t>
  </si>
  <si>
    <t>Breakeven Levels</t>
  </si>
  <si>
    <t>Profitability Levels</t>
  </si>
  <si>
    <t>Desired Operating cash Flow Levels</t>
  </si>
  <si>
    <t>Amortized Start-up Expenses</t>
  </si>
  <si>
    <t>Required Start-Up Funds for a New Business or</t>
  </si>
  <si>
    <t>Opening Balance Sheet for an Existing Business</t>
  </si>
  <si>
    <t>DO NOT USE THIS PAGE FOR ANY DATA ENTRY</t>
  </si>
  <si>
    <t>The opening balance sheet is now shown on the "start-up" page inputs, so this page is unnecessary.</t>
  </si>
  <si>
    <t>RMA Industry Norms</t>
  </si>
  <si>
    <t>Bank &amp; Merchant Fees</t>
  </si>
  <si>
    <t>Licenses/Fees/Permits</t>
  </si>
  <si>
    <t>Sales &amp; Marketing</t>
  </si>
  <si>
    <t>Miscellaneous</t>
  </si>
  <si>
    <t>Real Estate-Land</t>
  </si>
  <si>
    <t>Credit Card Debt</t>
  </si>
  <si>
    <t>Vehicle Loans</t>
  </si>
  <si>
    <t>Other Bank Debt</t>
  </si>
  <si>
    <t>Office Expenses &amp; Supplies</t>
  </si>
  <si>
    <t>be turned into cash or payables paid out in cash in the near term (i.e. in the first month of the plan)</t>
  </si>
  <si>
    <t>Note#: For existing businesses, this should be the "bucket" of cash plus recievables that will</t>
  </si>
  <si>
    <r>
      <t xml:space="preserve">For existing businesses = Cash+Ppd Exp+A/R-A/P-Accrd Exp  </t>
    </r>
    <r>
      <rPr>
        <b/>
        <u/>
        <sz val="9"/>
        <color indexed="10"/>
        <rFont val="Arial"/>
        <family val="2"/>
      </rPr>
      <t>See Note below#</t>
    </r>
  </si>
  <si>
    <t>New Fixed Assets Purchases</t>
  </si>
  <si>
    <t>Inventory Addition to Bal.Sheet</t>
  </si>
  <si>
    <t>Inventory Addition to Bal. Sheet</t>
  </si>
  <si>
    <r>
      <t xml:space="preserve">To use this model, simply complete any information asked for found in the </t>
    </r>
    <r>
      <rPr>
        <b/>
        <sz val="9"/>
        <color indexed="8"/>
        <rFont val="Arial"/>
        <family val="2"/>
      </rPr>
      <t>color yellow.</t>
    </r>
  </si>
  <si>
    <r>
      <t>Example:</t>
    </r>
    <r>
      <rPr>
        <b/>
        <sz val="9"/>
        <rFont val="Arial"/>
        <family val="2"/>
      </rPr>
      <t xml:space="preserve">  Fill in boxes that look like this</t>
    </r>
  </si>
  <si>
    <r>
      <t>Example:</t>
    </r>
    <r>
      <rPr>
        <b/>
        <sz val="9"/>
        <rFont val="Arial"/>
        <family val="2"/>
      </rPr>
      <t xml:space="preserve">  Check these assumptions</t>
    </r>
  </si>
  <si>
    <t>Please read this entire page before you do anything else</t>
  </si>
  <si>
    <t>6.  Cash Receipts and Disbursements</t>
  </si>
  <si>
    <t>Overhead Exp Allocation</t>
  </si>
  <si>
    <t>Overhead Expenses</t>
  </si>
  <si>
    <t>Line of Credit Paydown</t>
  </si>
  <si>
    <t>Mimimum Cash Balance before</t>
  </si>
  <si>
    <t>Quick Ratio</t>
  </si>
  <si>
    <t>Safety</t>
  </si>
  <si>
    <t>Debt to Coverage Ratio</t>
  </si>
  <si>
    <t>Debt to Equity Ratio</t>
  </si>
  <si>
    <t>Profitability</t>
  </si>
  <si>
    <t xml:space="preserve">Sales Growth </t>
  </si>
  <si>
    <t>COGS to Sales</t>
  </si>
  <si>
    <t>Gross Profit Margin</t>
  </si>
  <si>
    <t>SG&amp;A to Sales</t>
  </si>
  <si>
    <t>Net Profit Margin</t>
  </si>
  <si>
    <t>Return on Equity</t>
  </si>
  <si>
    <t>Return on Assets</t>
  </si>
  <si>
    <t>Owner's Compensation to Sales</t>
  </si>
  <si>
    <t>Days in Receivables</t>
  </si>
  <si>
    <t>Accounts Receivable Turnover</t>
  </si>
  <si>
    <t>Days in Inventory</t>
  </si>
  <si>
    <t>Inventory Turnover</t>
  </si>
  <si>
    <t>Sales to Total Assets</t>
  </si>
  <si>
    <t>This spreadsheet walks you through the process of developing an integrated set of financial projections.</t>
  </si>
  <si>
    <t>q</t>
  </si>
  <si>
    <t>Before you begin, we need some information about your business to best customize your financial statements.</t>
  </si>
  <si>
    <t>Although the cells that are calculated are locked (or protected), you can turn off this protection to modify the sheets.</t>
  </si>
  <si>
    <t>Finally, select "Unprotect Sheet" and you will be able to edit any labels or formulas.</t>
  </si>
  <si>
    <t>Begin by clicking on the tabs below</t>
  </si>
  <si>
    <t>To do this, select "Tools" from the menu bar at the top of the screen.  Then select, "Protection."</t>
  </si>
  <si>
    <t>A number found in the color green is optional information that you can complete.</t>
  </si>
  <si>
    <t>Otherwise, any information found in black type is automatically calculated for you.</t>
  </si>
  <si>
    <t>Efficiency</t>
  </si>
  <si>
    <t>Financial Diagnostics</t>
  </si>
  <si>
    <t>Value</t>
  </si>
  <si>
    <t>Findings</t>
  </si>
  <si>
    <t>General Financing Assumptions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</si>
  <si>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</si>
  <si>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</si>
  <si>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</si>
  <si>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</si>
  <si>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</si>
  <si>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</si>
  <si>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</si>
  <si>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Loan Payments as a Percent of Projected Sales</t>
  </si>
  <si>
    <t>Income Statement</t>
  </si>
  <si>
    <t>Gross Margin as a Percent of Sales</t>
  </si>
  <si>
    <t>This sheet performs a few tests on your numbers to see if they seem within certain reasonable ranges.</t>
  </si>
  <si>
    <t>Loan Term in Months</t>
  </si>
  <si>
    <t>Loan Type</t>
  </si>
  <si>
    <t>Principal</t>
  </si>
  <si>
    <t>Monthly Payment Amount</t>
  </si>
  <si>
    <t>Loan Balance</t>
  </si>
  <si>
    <t>Year Three Growth</t>
  </si>
  <si>
    <t>Income</t>
  </si>
  <si>
    <t>Total Income</t>
  </si>
  <si>
    <t>Cost of Sales</t>
  </si>
  <si>
    <t>Total Cost of Sales</t>
  </si>
  <si>
    <t>Total Fixed Business Expenses</t>
  </si>
  <si>
    <t>Wage Base</t>
  </si>
  <si>
    <t>Total Salary and Wages</t>
  </si>
  <si>
    <t>Net Income</t>
  </si>
  <si>
    <t>Beginning Cash Balance</t>
  </si>
  <si>
    <t>Cash Inflows</t>
  </si>
  <si>
    <t>Income from Sales</t>
  </si>
  <si>
    <t>Accounts Receivable</t>
  </si>
  <si>
    <t>Total Cash Inflows</t>
  </si>
  <si>
    <t>Cash Outflows</t>
  </si>
  <si>
    <t>Operating Activities</t>
  </si>
  <si>
    <t>Financing Activities</t>
  </si>
  <si>
    <t>Loan Payments</t>
  </si>
  <si>
    <t>Line of Credit Interest</t>
  </si>
  <si>
    <t>Line of Credit Repayments</t>
  </si>
  <si>
    <t>Dividends Paid</t>
  </si>
  <si>
    <t>Taxes</t>
  </si>
  <si>
    <t>Total Cash Outflows</t>
  </si>
  <si>
    <t>Operating Cash Balance</t>
  </si>
  <si>
    <t>Cash Flow</t>
  </si>
  <si>
    <t>Line of Credit Drawdowns</t>
  </si>
  <si>
    <t>Ending Cash Balance</t>
  </si>
  <si>
    <t>Line of Credit Balance</t>
  </si>
  <si>
    <t>Assets</t>
  </si>
  <si>
    <t>Current Assets</t>
  </si>
  <si>
    <t>Cash</t>
  </si>
  <si>
    <t>Investing Activities</t>
  </si>
  <si>
    <t>Inventory</t>
  </si>
  <si>
    <t>Prepaid Expenses</t>
  </si>
  <si>
    <t>Other Current</t>
  </si>
  <si>
    <t>Total Current Assets</t>
  </si>
  <si>
    <t>Less:  Accumulated Depreciation</t>
  </si>
  <si>
    <t>Total Assets</t>
  </si>
  <si>
    <t>Liabilities and Owner's Equity</t>
  </si>
  <si>
    <t>Accounts Payable</t>
  </si>
  <si>
    <t>Notes Payable</t>
  </si>
  <si>
    <t>Mortgage Payable</t>
  </si>
  <si>
    <t>Liabilities</t>
  </si>
  <si>
    <t>Total Liabilities</t>
  </si>
  <si>
    <t>Owner's Equity</t>
  </si>
  <si>
    <t>Common Stock</t>
  </si>
  <si>
    <t>Retained Earnings</t>
  </si>
  <si>
    <t>Dividends Dispersed</t>
  </si>
  <si>
    <t>Total Owner's Equity</t>
  </si>
  <si>
    <t>%</t>
  </si>
  <si>
    <t>Cash Receipts and Disbursements</t>
  </si>
  <si>
    <t>Accounts Receivable Collections</t>
  </si>
  <si>
    <t>Percent of Collections</t>
  </si>
  <si>
    <t>0 to 30 days</t>
  </si>
  <si>
    <t>31 to 60 days</t>
  </si>
  <si>
    <t>More than 60 days</t>
  </si>
  <si>
    <t>Total Collections Percentage</t>
  </si>
  <si>
    <t>Line of Credit Assumptions</t>
  </si>
  <si>
    <t>Desired Minimum Cash Balance</t>
  </si>
  <si>
    <t>Line of Credit Interest Rate</t>
  </si>
  <si>
    <t>Income Tax Assumptions</t>
  </si>
  <si>
    <t>Effective Income Tax Rate</t>
  </si>
  <si>
    <t>Amortization of Start-Up Expenses</t>
  </si>
  <si>
    <t>Amortization Period in Years</t>
  </si>
  <si>
    <t>Balance Sheet (For Existing Businesses Only)</t>
  </si>
  <si>
    <t>Accounts Payable Disbursements</t>
  </si>
  <si>
    <t>Number of Days to Pay Suppliers</t>
  </si>
  <si>
    <t>Total Disbursements Percentage</t>
  </si>
  <si>
    <t>Total Liabilities and Owner's Equity</t>
  </si>
  <si>
    <t>Breakeven Analysis</t>
  </si>
  <si>
    <t>Annual Sales Revenue</t>
  </si>
  <si>
    <t>Dollars</t>
  </si>
  <si>
    <t>Percent</t>
  </si>
  <si>
    <t>Breakeven Sales Calculation</t>
  </si>
  <si>
    <t>Breakeven Sales in Dollars</t>
  </si>
  <si>
    <t>Financial Ratios</t>
  </si>
  <si>
    <t>Year Two Growth</t>
  </si>
  <si>
    <t>Ratio</t>
  </si>
  <si>
    <t>Liquidity</t>
  </si>
  <si>
    <t>Current Ratio</t>
  </si>
  <si>
    <t>Amount</t>
  </si>
  <si>
    <t>Totals</t>
  </si>
  <si>
    <t>Depreciation</t>
  </si>
  <si>
    <t>Notes</t>
  </si>
  <si>
    <t>Fixed Assets</t>
  </si>
  <si>
    <t>Buildings</t>
  </si>
  <si>
    <t>Leasehold Improvements</t>
  </si>
  <si>
    <t>Equipment</t>
  </si>
  <si>
    <t>Furniture and Fixtures</t>
  </si>
  <si>
    <t>Vehicles</t>
  </si>
  <si>
    <t>Other Fixed Assets</t>
  </si>
  <si>
    <t>Total Fixed Assets</t>
  </si>
  <si>
    <t>Operating Capital</t>
  </si>
  <si>
    <t>Prepaid Insurance Premiums</t>
  </si>
  <si>
    <t>Legal and Accounting Fees</t>
  </si>
  <si>
    <t>Rent Deposits</t>
  </si>
  <si>
    <t>Utility Deposits</t>
  </si>
  <si>
    <t>Licenses</t>
  </si>
  <si>
    <t>Total Required Funds</t>
  </si>
  <si>
    <t xml:space="preserve"> years</t>
  </si>
  <si>
    <t>Sources of Funding</t>
  </si>
  <si>
    <t>Commercial Loan</t>
  </si>
  <si>
    <t>Term in Months</t>
  </si>
  <si>
    <t>Commercial Mortgage</t>
  </si>
  <si>
    <t>Total Sources of Funding</t>
  </si>
  <si>
    <t>Outside Investors</t>
  </si>
  <si>
    <t>Monthly Payments</t>
  </si>
  <si>
    <t>Loan Rate</t>
  </si>
  <si>
    <t>Additional Loans or Debt</t>
  </si>
  <si>
    <t>Price Per Unit</t>
  </si>
  <si>
    <t>Variable Cost Per Unit</t>
  </si>
  <si>
    <t>Gross Margin</t>
  </si>
  <si>
    <t>Profit</t>
  </si>
  <si>
    <t>Breakeven Sales Revenue</t>
  </si>
  <si>
    <t>Breakeven Sales Units</t>
  </si>
  <si>
    <t>Projected Unit Sales</t>
  </si>
  <si>
    <t>Year One</t>
  </si>
  <si>
    <t>Year Three</t>
  </si>
  <si>
    <t>Assumptions</t>
  </si>
  <si>
    <t>Projected Revenue</t>
  </si>
  <si>
    <t>Seasonality Factor</t>
  </si>
  <si>
    <t>Projected Sales Forecast</t>
  </si>
  <si>
    <t>Gross Margin Per Unit</t>
  </si>
  <si>
    <t>Products and Services</t>
  </si>
  <si>
    <t xml:space="preserve">          %</t>
  </si>
  <si>
    <t>Monthly</t>
  </si>
  <si>
    <t>Year Two</t>
  </si>
  <si>
    <t>Salaries and Wages</t>
  </si>
  <si>
    <t>Owner's Compensation</t>
  </si>
  <si>
    <t>Salaries</t>
  </si>
  <si>
    <t>Wages</t>
  </si>
  <si>
    <t>Full-Time Employees</t>
  </si>
  <si>
    <t>Part-Time Employees</t>
  </si>
  <si>
    <t>Independent Contractors</t>
  </si>
  <si>
    <t>Total Salaries and Wages</t>
  </si>
  <si>
    <t>Payroll Taxes and Benefits</t>
  </si>
  <si>
    <t>Federal Unemployment Tax (FUTA)</t>
  </si>
  <si>
    <t>Worker's Compensation</t>
  </si>
  <si>
    <t>Salaries and Related Expenses</t>
  </si>
  <si>
    <t>Total Payroll Taxes and Benefits</t>
  </si>
  <si>
    <t>Employee Health Insurance</t>
  </si>
  <si>
    <t>Employee Pension Programs</t>
  </si>
  <si>
    <t>Percent Change</t>
  </si>
  <si>
    <t>Social Security</t>
  </si>
  <si>
    <t>Medicare</t>
  </si>
  <si>
    <t>Total Salaries and Related Expenses</t>
  </si>
  <si>
    <t>Fixed Operating Expenses</t>
  </si>
  <si>
    <t>Expenses</t>
  </si>
  <si>
    <t>Advertising</t>
  </si>
  <si>
    <t>Car and Truck Expenses</t>
  </si>
  <si>
    <t>Contract Labor</t>
  </si>
  <si>
    <t>Insurance (Liability and Property)</t>
  </si>
  <si>
    <t>Postage and Delivery</t>
  </si>
  <si>
    <t>Rent (on business property)</t>
  </si>
  <si>
    <t>Rent of Vehicles and Equipment</t>
  </si>
  <si>
    <t>Travel</t>
  </si>
  <si>
    <t>Dues and Subscriptions</t>
  </si>
  <si>
    <t>Telephone and Communications</t>
  </si>
  <si>
    <t>Other Expenses</t>
  </si>
  <si>
    <t>Interest</t>
  </si>
  <si>
    <t>Total Other Expenses</t>
  </si>
  <si>
    <t>Line of Credit</t>
  </si>
  <si>
    <t>Amortization Schedule</t>
  </si>
  <si>
    <t>Principal Amount</t>
  </si>
  <si>
    <t>Utilities</t>
  </si>
  <si>
    <t>Interest Rate</t>
  </si>
  <si>
    <t>Pre-Opening Salaries</t>
  </si>
  <si>
    <t>Total Pre Operating Capital</t>
  </si>
  <si>
    <t>Profit &amp; Loss Summary</t>
  </si>
  <si>
    <t>Income From Operations</t>
  </si>
  <si>
    <t>Product/Service 7</t>
  </si>
  <si>
    <t>Product/Service 8</t>
  </si>
  <si>
    <t>Product/Service 9</t>
  </si>
  <si>
    <t>Product/Service 10</t>
  </si>
  <si>
    <t>Product/Service 11</t>
  </si>
  <si>
    <t>Product/Service 12</t>
  </si>
  <si>
    <t>Product/Service 13</t>
  </si>
  <si>
    <t>Product/Service 14</t>
  </si>
  <si>
    <t>Conferences &amp; Seminars</t>
  </si>
  <si>
    <t>Customer Discounts and Refunds</t>
  </si>
  <si>
    <t>Legal and Professional Fees</t>
  </si>
  <si>
    <t>Taxes-Other</t>
  </si>
  <si>
    <t>Percent Change Year Over Year</t>
  </si>
  <si>
    <t>% credit card costs</t>
  </si>
  <si>
    <t>Commission/credit card costs</t>
  </si>
  <si>
    <t>Other Debt</t>
  </si>
  <si>
    <r>
      <t xml:space="preserve">Year </t>
    </r>
    <r>
      <rPr>
        <b/>
        <sz val="9"/>
        <color indexed="10"/>
        <rFont val="Arial"/>
        <family val="2"/>
      </rPr>
      <t>Other Debt</t>
    </r>
    <r>
      <rPr>
        <b/>
        <sz val="9"/>
        <rFont val="Arial"/>
        <family val="2"/>
      </rPr>
      <t xml:space="preserve"> Loan Payments Start</t>
    </r>
  </si>
  <si>
    <t>Supplies</t>
  </si>
  <si>
    <t>Advertising and Marketing</t>
  </si>
  <si>
    <t>Other Initial Start-up Costs</t>
  </si>
  <si>
    <t>Working Capital - Cash on hand</t>
  </si>
  <si>
    <t>Yes=1  No=2</t>
  </si>
  <si>
    <t>by the U.S. Department of Labor to avoid overtime pay.</t>
  </si>
  <si>
    <t xml:space="preserve">If the result is "HOURLY", then enter the employee below under either hourly category.  </t>
  </si>
  <si>
    <t>To determine the hourly rate, multiply the monthly rate by 12 and divide the result by 2,080.</t>
  </si>
  <si>
    <t xml:space="preserve">A new mimimum weekly pay regulation ($913/wk - $3,956.33/mo) has been implemented </t>
  </si>
  <si>
    <t>• The employee’s primary duty must be managing the enterprise in which the employee</t>
  </si>
  <si>
    <t>is employed, or managing a customarily recognized department or subdivision of the</t>
  </si>
  <si>
    <t>• The employee must customarily and regularly direct the work of at least two or more</t>
  </si>
  <si>
    <t>other full-time employees or their equivalent (for example, one full-time and two half-time</t>
  </si>
  <si>
    <t>employees are equivalent to two full-time employees); and</t>
  </si>
  <si>
    <t>• The employee must have the authority to hire or fire other employees, or the employee’s</t>
  </si>
  <si>
    <t>suggestions and recommendations as to the hiring, firing, advancement, promotion, or any</t>
  </si>
  <si>
    <t>other change of status of other employees must be given particular weight.</t>
  </si>
  <si>
    <t>Executive definition:</t>
  </si>
  <si>
    <t>Executive?</t>
  </si>
  <si>
    <t>Outside Sales</t>
  </si>
  <si>
    <t>and Commissioned or</t>
  </si>
  <si>
    <t>Inventory Adjustment for credit card/commission/shipping</t>
  </si>
  <si>
    <t>Year 1</t>
  </si>
  <si>
    <t>Year 2</t>
  </si>
  <si>
    <t>Year 3</t>
  </si>
  <si>
    <t>Total</t>
  </si>
  <si>
    <t>Total 7-20</t>
  </si>
  <si>
    <t>Total 1-6</t>
  </si>
  <si>
    <t>Purchase Adjustment</t>
  </si>
  <si>
    <t xml:space="preserve">Grand Total Inventory </t>
  </si>
  <si>
    <t>Non-Inventory related variable costs cash used</t>
  </si>
  <si>
    <t>Total Fixed Expenses</t>
  </si>
  <si>
    <t>Total Operating Expenses</t>
  </si>
  <si>
    <t>Total  Cost of Goods Sold</t>
  </si>
  <si>
    <t>Total Fixed Operating/Other Expenses</t>
  </si>
  <si>
    <t>Cost of Goods Sold Year 1</t>
  </si>
  <si>
    <t>Cost of Goods Sold Year 2</t>
  </si>
  <si>
    <t>Cost of Goods Sold Year 3</t>
  </si>
  <si>
    <t>Type the names of each of your products or services in the yellow boxes below starting with Cell A4 - "Product/Service 1"</t>
  </si>
  <si>
    <t>Monthly Unit Sales Year 1</t>
  </si>
  <si>
    <t>1.    Required Start-Up Funds</t>
  </si>
  <si>
    <t>2.    Salaries and Wages</t>
  </si>
  <si>
    <t>3.    Fixed Operating Expenses</t>
  </si>
  <si>
    <t>The first seven worksheets shown in the tabs below in this workbook are steps you will need to complete.  They are titled:</t>
  </si>
  <si>
    <t>Please enter the name of your business in the yellow box below:</t>
  </si>
  <si>
    <t>4.   Cost of Goods/Services Sold</t>
  </si>
  <si>
    <t>4a. &amp; 5.  Projected Unit Sales Forecast (2 sheets)</t>
  </si>
  <si>
    <t>Monthly pre-tax income</t>
  </si>
  <si>
    <t>Cumulative pre-tax earnings</t>
  </si>
  <si>
    <t>Calculated Cost of Goods Sold</t>
  </si>
  <si>
    <t>Year Two Annualized Growth</t>
  </si>
  <si>
    <t>Year Three Annualized Growth</t>
  </si>
  <si>
    <t>Addition Funding Line of Credit Balance</t>
  </si>
  <si>
    <t>Additional Funding Line of Credit Balance</t>
  </si>
  <si>
    <t>Additional Funding L/C Drawdowns</t>
  </si>
  <si>
    <t>Non-inventory Cost</t>
  </si>
  <si>
    <t>enterprise and earn at least $36,000;</t>
  </si>
  <si>
    <t>Month Started</t>
  </si>
  <si>
    <t>Starting Month</t>
  </si>
  <si>
    <t>Owner</t>
  </si>
  <si>
    <t>Product/Service 6</t>
  </si>
  <si>
    <t>Product/Service 5</t>
  </si>
  <si>
    <t>Product/Service 2</t>
  </si>
  <si>
    <t>Product/Service 3</t>
  </si>
  <si>
    <t>Product/Service 4</t>
  </si>
  <si>
    <t>Product/Service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</si>
</sst>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0.0"/>
    <numFmt numFmtId="168" formatCode="_(* #,##0.00000000000000000000000000000000_);_(* \(#,##0.00000000000000000000000000000000\);_(* &quot;-&quot;??_);_(@_)"/>
    <numFmt numFmtId="169" formatCode="_(&quot;$&quot;* #,##0.0000_);_(&quot;$&quot;* \(#,##0.0000\);_(&quot;$&quot;* &quot;-&quot;??_);_(@_)"/>
  </numFmts>
  <fonts count="45">
    <font>
      <sz val="9"/>
      <name val="Arial"/>
    </font>
    <font>
      <sz val="9"/>
      <name val="Arial"/>
      <family val="2"/>
    </font>
    <font>
      <b/>
      <sz val="12"/>
      <name val="Arial"/>
      <family val="2"/>
    </font>
    <font>
      <b/>
      <sz val="9"/>
      <name val="Arial"/>
      <family val="2"/>
    </font>
    <font>
      <sz val="8"/>
      <name val="Arial"/>
      <family val="2"/>
    </font>
    <font>
      <b/>
      <sz val="8"/>
      <name val="Arial"/>
      <family val="2"/>
    </font>
    <font>
      <b/>
      <sz val="9"/>
      <name val="Arial"/>
      <family val="2"/>
    </font>
    <font>
      <sz val="9"/>
      <name val="Arial"/>
      <family val="2"/>
    </font>
    <font>
      <sz val="9"/>
      <name val="Arial"/>
      <family val="2"/>
    </font>
    <font>
      <sz val="9"/>
      <color indexed="9"/>
      <name val="Arial"/>
      <family val="2"/>
    </font>
    <font>
      <b/>
      <sz val="8"/>
      <color indexed="81"/>
      <name val="Tahoma"/>
      <family val="2"/>
    </font>
    <font>
      <b/>
      <sz val="14"/>
      <name val="Arial"/>
      <family val="2"/>
    </font>
    <font>
      <b/>
      <sz val="12"/>
      <color indexed="10"/>
      <name val="Arial"/>
      <family val="2"/>
    </font>
    <font>
      <sz val="9"/>
      <color indexed="10"/>
      <name val="Arial"/>
      <family val="2"/>
    </font>
    <font>
      <b/>
      <sz val="9"/>
      <color indexed="10"/>
      <name val="Arial"/>
      <family val="2"/>
    </font>
    <font>
      <b/>
      <sz val="9"/>
      <color indexed="10"/>
      <name val="Arial"/>
      <family val="2"/>
    </font>
    <font>
      <b/>
      <u/>
      <sz val="9"/>
      <color indexed="10"/>
      <name val="Arial"/>
      <family val="2"/>
    </font>
    <font>
      <b/>
      <sz val="9"/>
      <color indexed="12"/>
      <name val="Arial"/>
      <family val="2"/>
    </font>
    <font>
      <b/>
      <u/>
      <sz val="9"/>
      <name val="Arial"/>
      <family val="2"/>
    </font>
    <font>
      <b/>
      <sz val="9"/>
      <color indexed="8"/>
      <name val="Arial"/>
      <family val="2"/>
    </font>
    <font>
      <b/>
      <i/>
      <sz val="9"/>
      <name val="Arial"/>
      <family val="2"/>
    </font>
    <font>
      <b/>
      <sz val="9"/>
      <name val="Wingdings 3"/>
      <family val="1"/>
    </font>
    <font>
      <b/>
      <sz val="12"/>
      <color indexed="12"/>
      <name val="Arial"/>
      <family val="2"/>
    </font>
    <font>
      <sz val="11"/>
      <name val="Calibri"/>
      <family val="2"/>
    </font>
    <font>
      <sz val="9"/>
      <color indexed="81"/>
      <name val="Tahoma"/>
      <family val="2"/>
    </font>
    <font>
      <b/>
      <sz val="9"/>
      <color indexed="81"/>
      <name val="Tahoma"/>
      <family val="2"/>
    </font>
    <font>
      <sz val="14"/>
      <name val="Arial"/>
      <family val="2"/>
    </font>
    <font>
      <b/>
      <sz val="8"/>
      <color indexed="9"/>
      <name val="Arial"/>
      <family val="2"/>
    </font>
    <font>
      <b/>
      <sz val="14"/>
      <color indexed="19"/>
      <name val="Arial"/>
      <family val="2"/>
    </font>
    <font>
      <b/>
      <sz val="11"/>
      <name val="Calibri"/>
      <family val="2"/>
    </font>
    <font>
      <b/>
      <sz val="9"/>
      <color indexed="9"/>
      <name val="Arial"/>
      <family val="2"/>
    </font>
    <font>
      <sz val="9"/>
      <name val="Arial"/>
      <family val="2"/>
    </font>
    <font>
      <b/>
      <sz val="18"/>
      <name val="Arial"/>
      <family val="2"/>
    </font>
    <font>
      <b/>
      <sz val="26"/>
      <color indexed="10"/>
      <name val="Arial"/>
      <family val="2"/>
    </font>
    <font>
      <b/>
      <sz val="9"/>
      <color rgb="FFFF0000"/>
      <name val="Arial"/>
      <family val="2"/>
    </font>
    <font>
      <b/>
      <sz val="10"/>
      <color theme="3" tint="0.39997558519241921"/>
      <name val="Arial"/>
      <family val="2"/>
    </font>
    <font>
      <b/>
      <sz val="11"/>
      <color theme="3" tint="0.39997558519241921"/>
      <name val="Arial"/>
      <family val="2"/>
    </font>
    <font>
      <b/>
      <sz val="9"/>
      <color theme="0"/>
      <name val="Arial"/>
      <family val="2"/>
    </font>
    <font>
      <sz val="9"/>
      <color theme="0"/>
      <name val="Arial"/>
      <family val="2"/>
    </font>
    <font>
      <b/>
      <sz val="14"/>
      <color rgb="FFFF0000"/>
      <name val="Arial"/>
      <family val="2"/>
    </font>
    <font>
      <b/>
      <sz val="11"/>
      <color theme="0"/>
      <name val="Arial"/>
      <family val="2"/>
    </font>
    <font>
      <sz val="9"/>
      <color rgb="FFFF0000"/>
      <name val="Arial"/>
      <family val="2"/>
    </font>
    <font>
      <b/>
      <sz val="11"/>
      <name val="Arial"/>
      <family val="2"/>
    </font>
    <font>
      <b/>
      <sz val="10"/>
      <name val="Arial"/>
      <family val="2"/>
    </font>
    <font>
      <u val="singleAccounting"/>
      <sz val="9"/>
      <name val="Arial"/>
      <family val="2"/>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s>
  <borders count="31">
    <border>
      <left/>
      <right/>
      <top/>
      <bottom/>
      <diagonal/>
    </border>
    <border>
      <left/>
      <right/>
      <top/>
      <bottom style="medium">
        <color indexed="64"/>
      </bottom>
      <diagonal/>
    </border>
    <border>
      <left/>
      <right/>
      <top/>
      <bottom style="thick">
        <color indexed="64"/>
      </bottom>
      <diagonal/>
    </border>
    <border>
      <left/>
      <right/>
      <top style="medium">
        <color indexed="64"/>
      </top>
      <bottom style="double">
        <color indexed="64"/>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15">
    <xf numFmtId="0" fontId="0" fillId="0" borderId="0" xfId="0"/>
    <xf numFmtId="0" fontId="3" fillId="0" borderId="0" xfId="0" applyFont="1"/>
    <xf numFmtId="0" fontId="2" fillId="0" borderId="0" xfId="0" applyFont="1" applyAlignment="1"/>
    <xf numFmtId="0" fontId="0" fillId="0" borderId="0" xfId="0" applyAlignment="1">
      <alignment horizontal="right"/>
    </xf>
    <xf numFmtId="0" fontId="2" fillId="0" borderId="0" xfId="0" applyFont="1" applyAlignment="1">
      <alignment horizontal="left"/>
    </xf>
    <xf numFmtId="0" fontId="2" fillId="0" borderId="0" xfId="0" applyFont="1"/>
    <xf numFmtId="0" fontId="5" fillId="0" borderId="0" xfId="0" applyFont="1"/>
    <xf numFmtId="0" fontId="4" fillId="0" borderId="0" xfId="0" applyFont="1"/>
    <xf numFmtId="0" fontId="4" fillId="0" borderId="0" xfId="0" applyFont="1" applyAlignment="1">
      <alignment horizontal="right"/>
    </xf>
    <xf numFmtId="10" fontId="4" fillId="0" borderId="0" xfId="3" applyNumberFormat="1" applyFont="1" applyAlignment="1">
      <alignment horizontal="right"/>
    </xf>
    <xf numFmtId="166" fontId="4" fillId="0" borderId="0" xfId="1" applyNumberFormat="1" applyFont="1"/>
    <xf numFmtId="166" fontId="4" fillId="0" borderId="0" xfId="0" applyNumberFormat="1" applyFont="1"/>
    <xf numFmtId="15" fontId="3" fillId="0" borderId="0" xfId="0" applyNumberFormat="1" applyFont="1" applyAlignment="1"/>
    <xf numFmtId="0" fontId="0" fillId="0" borderId="0" xfId="0" applyAlignment="1">
      <alignment horizontal="center"/>
    </xf>
    <xf numFmtId="0" fontId="0" fillId="0" borderId="0" xfId="0" applyBorder="1"/>
    <xf numFmtId="0" fontId="5" fillId="0" borderId="0" xfId="0" applyFont="1" applyBorder="1" applyAlignment="1">
      <alignment horizontal="right"/>
    </xf>
    <xf numFmtId="0" fontId="0" fillId="0" borderId="0" xfId="0" applyFill="1" applyBorder="1"/>
    <xf numFmtId="0" fontId="4" fillId="0" borderId="0" xfId="0" applyFont="1" applyBorder="1"/>
    <xf numFmtId="166" fontId="4" fillId="0" borderId="0" xfId="1" applyNumberFormat="1" applyFont="1" applyBorder="1"/>
    <xf numFmtId="166" fontId="4" fillId="0" borderId="0" xfId="0" applyNumberFormat="1" applyFont="1" applyBorder="1"/>
    <xf numFmtId="0" fontId="3" fillId="0" borderId="0" xfId="0" applyFont="1" applyFill="1" applyBorder="1"/>
    <xf numFmtId="166" fontId="0" fillId="0" borderId="0" xfId="0" applyNumberFormat="1"/>
    <xf numFmtId="0" fontId="1" fillId="0" borderId="0" xfId="0" applyFont="1"/>
    <xf numFmtId="0" fontId="6" fillId="0" borderId="0" xfId="0" applyFont="1"/>
    <xf numFmtId="0" fontId="7" fillId="0" borderId="0" xfId="0" applyFont="1"/>
    <xf numFmtId="0" fontId="6" fillId="0" borderId="0" xfId="0" applyFont="1" applyAlignment="1">
      <alignment horizontal="right"/>
    </xf>
    <xf numFmtId="0" fontId="6" fillId="0" borderId="0" xfId="0" applyFont="1" applyAlignment="1">
      <alignment horizontal="left"/>
    </xf>
    <xf numFmtId="165" fontId="7" fillId="0" borderId="0" xfId="2" applyNumberFormat="1" applyFont="1"/>
    <xf numFmtId="165" fontId="7" fillId="0" borderId="0" xfId="0" applyNumberFormat="1" applyFont="1"/>
    <xf numFmtId="165" fontId="7" fillId="0" borderId="0" xfId="1" applyNumberFormat="1" applyFont="1"/>
    <xf numFmtId="165" fontId="7" fillId="0" borderId="1" xfId="0" applyNumberFormat="1" applyFont="1" applyBorder="1"/>
    <xf numFmtId="166" fontId="7" fillId="0" borderId="0" xfId="1" applyNumberFormat="1" applyFont="1"/>
    <xf numFmtId="43" fontId="7" fillId="0" borderId="0" xfId="0" applyNumberFormat="1" applyFont="1"/>
    <xf numFmtId="10" fontId="7" fillId="0" borderId="0" xfId="3" applyNumberFormat="1" applyFont="1"/>
    <xf numFmtId="8" fontId="7" fillId="0" borderId="0" xfId="0" applyNumberFormat="1" applyFont="1"/>
    <xf numFmtId="8" fontId="7" fillId="0" borderId="1" xfId="0" applyNumberFormat="1" applyFont="1" applyBorder="1"/>
    <xf numFmtId="10" fontId="7" fillId="0" borderId="0" xfId="0" applyNumberFormat="1" applyFont="1"/>
    <xf numFmtId="0" fontId="8" fillId="0" borderId="0" xfId="0" applyFont="1"/>
    <xf numFmtId="0" fontId="3" fillId="0" borderId="0" xfId="0" applyFont="1" applyAlignment="1">
      <alignment horizontal="center"/>
    </xf>
    <xf numFmtId="0" fontId="3" fillId="0" borderId="0" xfId="0" applyFont="1" applyAlignment="1">
      <alignment horizontal="right"/>
    </xf>
    <xf numFmtId="0" fontId="3" fillId="0" borderId="2" xfId="0" applyFont="1" applyBorder="1" applyAlignment="1">
      <alignment horizontal="right"/>
    </xf>
    <xf numFmtId="0" fontId="3" fillId="0" borderId="0" xfId="0" applyFont="1" applyFill="1" applyBorder="1" applyAlignment="1">
      <alignment horizontal="right"/>
    </xf>
    <xf numFmtId="0" fontId="8" fillId="0" borderId="0" xfId="0" applyFont="1" applyAlignment="1">
      <alignment horizontal="center"/>
    </xf>
    <xf numFmtId="0" fontId="8" fillId="0" borderId="0" xfId="0" applyFont="1" applyFill="1" applyBorder="1"/>
    <xf numFmtId="165" fontId="8" fillId="0" borderId="0" xfId="2" applyNumberFormat="1" applyFont="1" applyFill="1" applyBorder="1"/>
    <xf numFmtId="166" fontId="8" fillId="0" borderId="0" xfId="1" applyNumberFormat="1" applyFont="1"/>
    <xf numFmtId="166" fontId="8" fillId="0" borderId="0" xfId="1" applyNumberFormat="1" applyFont="1" applyFill="1" applyBorder="1"/>
    <xf numFmtId="43" fontId="8" fillId="0" borderId="0" xfId="1" applyFont="1"/>
    <xf numFmtId="44" fontId="8" fillId="0" borderId="0" xfId="2" applyFont="1"/>
    <xf numFmtId="166" fontId="8" fillId="0" borderId="1" xfId="1" applyNumberFormat="1" applyFont="1" applyBorder="1"/>
    <xf numFmtId="165" fontId="8" fillId="0" borderId="0" xfId="0" applyNumberFormat="1" applyFont="1" applyFill="1" applyBorder="1"/>
    <xf numFmtId="10" fontId="8" fillId="0" borderId="0" xfId="3" applyNumberFormat="1" applyFont="1"/>
    <xf numFmtId="165" fontId="8" fillId="0" borderId="0" xfId="2" applyNumberFormat="1" applyFont="1"/>
    <xf numFmtId="166" fontId="8" fillId="0" borderId="0" xfId="0" applyNumberFormat="1" applyFont="1"/>
    <xf numFmtId="166" fontId="8" fillId="0" borderId="0" xfId="0" applyNumberFormat="1" applyFont="1" applyFill="1" applyBorder="1"/>
    <xf numFmtId="0" fontId="8" fillId="0" borderId="1" xfId="0" applyFont="1" applyBorder="1"/>
    <xf numFmtId="43" fontId="8" fillId="0" borderId="0" xfId="1" applyFont="1" applyFill="1" applyBorder="1"/>
    <xf numFmtId="166" fontId="8" fillId="0" borderId="3" xfId="1" applyNumberFormat="1" applyFont="1" applyBorder="1"/>
    <xf numFmtId="44" fontId="8" fillId="0" borderId="0" xfId="2" applyFont="1" applyFill="1" applyBorder="1"/>
    <xf numFmtId="166" fontId="8" fillId="0" borderId="1" xfId="1" applyNumberFormat="1" applyFont="1" applyFill="1" applyBorder="1"/>
    <xf numFmtId="165" fontId="8" fillId="0" borderId="1" xfId="0" applyNumberFormat="1" applyFont="1" applyFill="1" applyBorder="1"/>
    <xf numFmtId="165" fontId="8" fillId="0" borderId="3" xfId="2" applyNumberFormat="1" applyFont="1" applyFill="1" applyBorder="1"/>
    <xf numFmtId="0" fontId="6" fillId="0" borderId="0" xfId="0" applyFont="1" applyBorder="1"/>
    <xf numFmtId="0" fontId="6" fillId="0" borderId="0" xfId="0" applyFont="1" applyBorder="1" applyAlignment="1">
      <alignment horizontal="right"/>
    </xf>
    <xf numFmtId="0" fontId="6" fillId="0" borderId="0" xfId="0" applyFont="1" applyBorder="1" applyAlignment="1">
      <alignment horizontal="center"/>
    </xf>
    <xf numFmtId="0" fontId="6" fillId="0" borderId="2" xfId="0" applyFont="1" applyBorder="1" applyAlignment="1">
      <alignment horizontal="right"/>
    </xf>
    <xf numFmtId="0" fontId="7" fillId="0" borderId="0" xfId="0" applyFont="1" applyAlignment="1">
      <alignment horizontal="right"/>
    </xf>
    <xf numFmtId="10" fontId="7" fillId="0" borderId="0" xfId="3" applyNumberFormat="1" applyFont="1" applyAlignment="1">
      <alignment horizontal="right"/>
    </xf>
    <xf numFmtId="10" fontId="7" fillId="0" borderId="0" xfId="3" applyNumberFormat="1" applyFont="1" applyBorder="1" applyAlignment="1">
      <alignment horizontal="right"/>
    </xf>
    <xf numFmtId="44" fontId="7" fillId="0" borderId="0" xfId="2" applyNumberFormat="1" applyFont="1" applyAlignment="1">
      <alignment horizontal="right"/>
    </xf>
    <xf numFmtId="166" fontId="7" fillId="0" borderId="0" xfId="0" applyNumberFormat="1" applyFont="1"/>
    <xf numFmtId="0" fontId="7" fillId="0" borderId="0" xfId="0" applyFont="1" applyAlignment="1">
      <alignment horizontal="left"/>
    </xf>
    <xf numFmtId="165" fontId="7" fillId="0" borderId="0" xfId="2" applyNumberFormat="1" applyFont="1" applyAlignment="1">
      <alignment horizontal="right"/>
    </xf>
    <xf numFmtId="166" fontId="7" fillId="0" borderId="4" xfId="1" applyNumberFormat="1" applyFont="1" applyBorder="1" applyAlignment="1">
      <alignment horizontal="right"/>
    </xf>
    <xf numFmtId="166" fontId="7" fillId="0" borderId="0" xfId="1" applyNumberFormat="1" applyFont="1" applyAlignment="1">
      <alignment horizontal="right"/>
    </xf>
    <xf numFmtId="166" fontId="7" fillId="0" borderId="5" xfId="1" applyNumberFormat="1" applyFont="1" applyBorder="1" applyAlignment="1">
      <alignment horizontal="right"/>
    </xf>
    <xf numFmtId="44" fontId="7" fillId="0" borderId="0" xfId="2" applyFont="1" applyAlignment="1">
      <alignment horizontal="right"/>
    </xf>
    <xf numFmtId="166" fontId="7" fillId="0" borderId="0" xfId="1" applyNumberFormat="1" applyFont="1" applyFill="1" applyBorder="1"/>
    <xf numFmtId="166" fontId="8" fillId="0" borderId="3" xfId="1" applyNumberFormat="1" applyFont="1" applyFill="1" applyBorder="1"/>
    <xf numFmtId="0" fontId="3" fillId="0" borderId="0" xfId="0" applyFont="1" applyFill="1" applyBorder="1" applyAlignment="1">
      <alignment horizontal="center"/>
    </xf>
    <xf numFmtId="10" fontId="8" fillId="0" borderId="0" xfId="3" applyNumberFormat="1" applyFont="1" applyFill="1" applyBorder="1"/>
    <xf numFmtId="10" fontId="3" fillId="0" borderId="3" xfId="3" applyNumberFormat="1" applyFont="1" applyFill="1" applyBorder="1"/>
    <xf numFmtId="0" fontId="8" fillId="0" borderId="0" xfId="0" applyFont="1" applyBorder="1"/>
    <xf numFmtId="0" fontId="3" fillId="0" borderId="0" xfId="0" applyFont="1" applyBorder="1" applyAlignment="1">
      <alignment horizontal="right"/>
    </xf>
    <xf numFmtId="0" fontId="3" fillId="0" borderId="0" xfId="0" applyFont="1" applyBorder="1" applyAlignment="1">
      <alignment horizontal="center"/>
    </xf>
    <xf numFmtId="0" fontId="3" fillId="0" borderId="0" xfId="0" applyFont="1" applyBorder="1"/>
    <xf numFmtId="166" fontId="8" fillId="0" borderId="0" xfId="1" applyNumberFormat="1" applyFont="1" applyBorder="1"/>
    <xf numFmtId="166" fontId="8" fillId="0" borderId="0" xfId="0" applyNumberFormat="1" applyFont="1" applyBorder="1"/>
    <xf numFmtId="0" fontId="8" fillId="0" borderId="0" xfId="0" applyFont="1" applyAlignment="1">
      <alignment horizontal="right"/>
    </xf>
    <xf numFmtId="166" fontId="8" fillId="0" borderId="1" xfId="0" applyNumberFormat="1" applyFont="1" applyBorder="1"/>
    <xf numFmtId="166" fontId="8" fillId="0" borderId="6" xfId="1" applyNumberFormat="1" applyFont="1" applyBorder="1"/>
    <xf numFmtId="168" fontId="8" fillId="0" borderId="0" xfId="0" applyNumberFormat="1" applyFont="1"/>
    <xf numFmtId="44" fontId="7" fillId="0" borderId="0" xfId="2" applyFont="1"/>
    <xf numFmtId="166" fontId="7" fillId="0" borderId="0" xfId="0" applyNumberFormat="1" applyFont="1" applyAlignment="1">
      <alignment horizontal="left"/>
    </xf>
    <xf numFmtId="10" fontId="3" fillId="0" borderId="0" xfId="3" applyNumberFormat="1" applyFont="1" applyFill="1" applyBorder="1"/>
    <xf numFmtId="10" fontId="8" fillId="0" borderId="1" xfId="3" applyNumberFormat="1" applyFont="1" applyFill="1" applyBorder="1"/>
    <xf numFmtId="0" fontId="3" fillId="0" borderId="2" xfId="0" applyFont="1" applyFill="1" applyBorder="1" applyAlignment="1">
      <alignment horizontal="right"/>
    </xf>
    <xf numFmtId="0" fontId="11" fillId="0" borderId="0" xfId="0" applyFont="1"/>
    <xf numFmtId="0" fontId="3" fillId="0" borderId="0" xfId="0" applyFont="1" applyFill="1" applyBorder="1" applyAlignment="1">
      <alignment horizontal="left"/>
    </xf>
    <xf numFmtId="0" fontId="8" fillId="0" borderId="0" xfId="3" applyNumberFormat="1" applyFont="1" applyFill="1" applyBorder="1"/>
    <xf numFmtId="0" fontId="8" fillId="0" borderId="0" xfId="0" applyNumberFormat="1" applyFont="1" applyFill="1" applyBorder="1"/>
    <xf numFmtId="0" fontId="8" fillId="0" borderId="0" xfId="1" applyNumberFormat="1" applyFont="1" applyFill="1" applyBorder="1"/>
    <xf numFmtId="0" fontId="8" fillId="0" borderId="0" xfId="1" applyNumberFormat="1" applyFont="1" applyFill="1" applyBorder="1" applyAlignment="1">
      <alignment horizontal="left"/>
    </xf>
    <xf numFmtId="0" fontId="3" fillId="0" borderId="0" xfId="0" applyFont="1" applyFill="1"/>
    <xf numFmtId="14" fontId="3" fillId="3" borderId="2" xfId="0" applyNumberFormat="1" applyFont="1" applyFill="1" applyBorder="1" applyAlignment="1" applyProtection="1">
      <alignment horizontal="right"/>
      <protection locked="0"/>
    </xf>
    <xf numFmtId="166" fontId="8" fillId="3" borderId="0" xfId="1" applyNumberFormat="1" applyFont="1" applyFill="1" applyBorder="1" applyProtection="1">
      <protection locked="0"/>
    </xf>
    <xf numFmtId="166" fontId="8" fillId="3" borderId="1" xfId="1" applyNumberFormat="1" applyFont="1" applyFill="1" applyBorder="1" applyProtection="1">
      <protection locked="0"/>
    </xf>
    <xf numFmtId="166" fontId="8" fillId="3" borderId="0" xfId="1" applyNumberFormat="1" applyFont="1" applyFill="1" applyProtection="1">
      <protection locked="0"/>
    </xf>
    <xf numFmtId="10" fontId="8" fillId="3" borderId="0" xfId="3" applyNumberFormat="1" applyFont="1" applyFill="1" applyBorder="1" applyProtection="1">
      <protection locked="0"/>
    </xf>
    <xf numFmtId="10" fontId="8" fillId="3" borderId="1" xfId="3" applyNumberFormat="1" applyFont="1" applyFill="1" applyBorder="1" applyProtection="1">
      <protection locked="0"/>
    </xf>
    <xf numFmtId="10" fontId="8" fillId="2" borderId="0" xfId="3" applyNumberFormat="1" applyFont="1" applyFill="1" applyBorder="1" applyProtection="1">
      <protection locked="0"/>
    </xf>
    <xf numFmtId="43" fontId="8" fillId="2" borderId="0" xfId="1" applyFont="1" applyFill="1" applyBorder="1" applyProtection="1">
      <protection locked="0"/>
    </xf>
    <xf numFmtId="166" fontId="7" fillId="3" borderId="0" xfId="1" applyNumberFormat="1" applyFont="1" applyFill="1" applyProtection="1">
      <protection locked="0"/>
    </xf>
    <xf numFmtId="10" fontId="7" fillId="3" borderId="0" xfId="3" applyNumberFormat="1" applyFont="1" applyFill="1" applyAlignment="1" applyProtection="1">
      <alignment horizontal="right"/>
      <protection locked="0"/>
    </xf>
    <xf numFmtId="44" fontId="7" fillId="3" borderId="4" xfId="2" applyNumberFormat="1" applyFont="1" applyFill="1" applyBorder="1" applyAlignment="1" applyProtection="1">
      <alignment horizontal="right"/>
      <protection locked="0"/>
    </xf>
    <xf numFmtId="44" fontId="7" fillId="3" borderId="0" xfId="2" applyFont="1" applyFill="1" applyAlignment="1" applyProtection="1">
      <alignment horizontal="right"/>
      <protection locked="0"/>
    </xf>
    <xf numFmtId="0" fontId="6" fillId="3" borderId="0" xfId="0" applyFont="1" applyFill="1" applyAlignment="1" applyProtection="1">
      <protection locked="0"/>
    </xf>
    <xf numFmtId="10" fontId="7" fillId="3" borderId="0" xfId="2" applyNumberFormat="1" applyFont="1" applyFill="1" applyBorder="1" applyAlignment="1" applyProtection="1">
      <alignment horizontal="right"/>
      <protection locked="0"/>
    </xf>
    <xf numFmtId="0" fontId="6" fillId="3" borderId="2" xfId="0" applyFont="1" applyFill="1" applyBorder="1" applyAlignment="1" applyProtection="1">
      <alignment horizontal="right"/>
      <protection locked="0"/>
    </xf>
    <xf numFmtId="10" fontId="8" fillId="3" borderId="0" xfId="3" applyNumberFormat="1" applyFont="1" applyFill="1" applyProtection="1">
      <protection locked="0"/>
    </xf>
    <xf numFmtId="165" fontId="8" fillId="2" borderId="0" xfId="2" applyNumberFormat="1" applyFont="1" applyFill="1" applyProtection="1">
      <protection locked="0"/>
    </xf>
    <xf numFmtId="10" fontId="8" fillId="2" borderId="0" xfId="3" applyNumberFormat="1" applyFont="1" applyFill="1" applyProtection="1">
      <protection locked="0"/>
    </xf>
    <xf numFmtId="165" fontId="7" fillId="3" borderId="0" xfId="2" applyNumberFormat="1" applyFont="1" applyFill="1" applyProtection="1">
      <protection locked="0"/>
    </xf>
    <xf numFmtId="43" fontId="7" fillId="2" borderId="0" xfId="1" applyFont="1" applyFill="1" applyProtection="1">
      <protection locked="0"/>
    </xf>
    <xf numFmtId="0" fontId="7" fillId="0" borderId="0" xfId="0" applyFont="1" applyProtection="1">
      <protection locked="0"/>
    </xf>
    <xf numFmtId="43" fontId="7" fillId="0" borderId="0" xfId="1" applyNumberFormat="1" applyFont="1" applyProtection="1">
      <protection locked="0"/>
    </xf>
    <xf numFmtId="43" fontId="7" fillId="0" borderId="0" xfId="1" applyFont="1" applyProtection="1">
      <protection locked="0"/>
    </xf>
    <xf numFmtId="43" fontId="7" fillId="0" borderId="0" xfId="0" applyNumberFormat="1" applyFont="1" applyProtection="1">
      <protection locked="0"/>
    </xf>
    <xf numFmtId="0" fontId="3" fillId="2" borderId="0" xfId="0" applyFont="1" applyFill="1" applyBorder="1"/>
    <xf numFmtId="0" fontId="3" fillId="2" borderId="0" xfId="0" applyFont="1" applyFill="1" applyBorder="1" applyProtection="1">
      <protection locked="0"/>
    </xf>
    <xf numFmtId="10" fontId="8" fillId="2" borderId="0" xfId="0" applyNumberFormat="1" applyFont="1" applyFill="1" applyProtection="1">
      <protection locked="0"/>
    </xf>
    <xf numFmtId="166" fontId="9" fillId="0" borderId="0" xfId="1" applyNumberFormat="1" applyFont="1" applyFill="1" applyBorder="1"/>
    <xf numFmtId="10" fontId="7" fillId="2" borderId="0" xfId="3" applyNumberFormat="1" applyFont="1" applyFill="1" applyProtection="1">
      <protection locked="0"/>
    </xf>
    <xf numFmtId="0" fontId="12" fillId="0" borderId="0" xfId="0" applyFont="1" applyAlignment="1">
      <alignment horizontal="left"/>
    </xf>
    <xf numFmtId="0" fontId="12" fillId="0" borderId="0" xfId="0" applyFont="1"/>
    <xf numFmtId="0" fontId="13" fillId="0" borderId="0" xfId="0" applyFont="1"/>
    <xf numFmtId="0" fontId="14" fillId="0" borderId="0" xfId="0" applyFont="1"/>
    <xf numFmtId="0" fontId="15" fillId="0" borderId="0" xfId="0" applyFont="1"/>
    <xf numFmtId="8" fontId="7" fillId="0" borderId="0" xfId="0" applyNumberFormat="1" applyFont="1" applyBorder="1"/>
    <xf numFmtId="165" fontId="7" fillId="0" borderId="6" xfId="2" applyNumberFormat="1" applyFont="1" applyBorder="1"/>
    <xf numFmtId="8" fontId="7" fillId="0" borderId="6" xfId="0" applyNumberFormat="1" applyFont="1" applyBorder="1"/>
    <xf numFmtId="166" fontId="8" fillId="0" borderId="4" xfId="1" applyNumberFormat="1" applyFont="1" applyFill="1" applyBorder="1"/>
    <xf numFmtId="0" fontId="1" fillId="0" borderId="0" xfId="0" applyFont="1" applyProtection="1">
      <protection locked="0"/>
    </xf>
    <xf numFmtId="0" fontId="17" fillId="0" borderId="0" xfId="0" applyFont="1"/>
    <xf numFmtId="165" fontId="17" fillId="0" borderId="0" xfId="2" applyNumberFormat="1" applyFont="1"/>
    <xf numFmtId="0" fontId="18" fillId="0" borderId="2" xfId="0" applyFont="1" applyFill="1" applyBorder="1" applyAlignment="1">
      <alignment horizontal="center"/>
    </xf>
    <xf numFmtId="164" fontId="3" fillId="0" borderId="0" xfId="3" applyNumberFormat="1" applyFont="1" applyFill="1" applyBorder="1"/>
    <xf numFmtId="164" fontId="3" fillId="0" borderId="0" xfId="1" applyNumberFormat="1" applyFont="1" applyFill="1" applyBorder="1"/>
    <xf numFmtId="166" fontId="3" fillId="0" borderId="0" xfId="0" applyNumberFormat="1" applyFont="1" applyBorder="1"/>
    <xf numFmtId="37" fontId="3" fillId="0" borderId="0" xfId="3" applyNumberFormat="1" applyFont="1" applyFill="1" applyBorder="1"/>
    <xf numFmtId="166" fontId="3" fillId="0" borderId="0" xfId="1" applyNumberFormat="1" applyFont="1" applyFill="1" applyBorder="1"/>
    <xf numFmtId="165" fontId="3" fillId="0" borderId="0" xfId="2" applyNumberFormat="1" applyFont="1" applyFill="1" applyBorder="1"/>
    <xf numFmtId="167" fontId="3" fillId="0" borderId="0" xfId="1" applyNumberFormat="1" applyFont="1" applyFill="1" applyBorder="1"/>
    <xf numFmtId="167" fontId="3" fillId="0" borderId="0" xfId="0" applyNumberFormat="1" applyFont="1" applyFill="1" applyBorder="1"/>
    <xf numFmtId="167" fontId="5" fillId="0" borderId="0" xfId="0" applyNumberFormat="1" applyFont="1" applyFill="1" applyBorder="1"/>
    <xf numFmtId="43" fontId="3" fillId="0" borderId="0" xfId="1" applyNumberFormat="1" applyFont="1" applyBorder="1"/>
    <xf numFmtId="43" fontId="3" fillId="0" borderId="0" xfId="1" applyNumberFormat="1" applyFont="1" applyFill="1" applyBorder="1"/>
    <xf numFmtId="164" fontId="3" fillId="0" borderId="0" xfId="1" applyNumberFormat="1" applyFont="1" applyBorder="1"/>
    <xf numFmtId="164" fontId="3" fillId="0" borderId="0" xfId="0" applyNumberFormat="1" applyFont="1" applyFill="1" applyBorder="1"/>
    <xf numFmtId="0" fontId="20" fillId="0" borderId="0" xfId="0" applyFont="1"/>
    <xf numFmtId="43" fontId="6" fillId="3" borderId="7" xfId="1" applyFont="1" applyFill="1" applyBorder="1"/>
    <xf numFmtId="0" fontId="19" fillId="0" borderId="0" xfId="0" applyFont="1"/>
    <xf numFmtId="43" fontId="6" fillId="2" borderId="7" xfId="1" applyFont="1" applyFill="1" applyBorder="1"/>
    <xf numFmtId="0" fontId="6" fillId="3" borderId="8" xfId="0" applyFont="1" applyFill="1" applyBorder="1"/>
    <xf numFmtId="0" fontId="21" fillId="0" borderId="0" xfId="0" applyFont="1" applyAlignment="1">
      <alignment horizontal="right"/>
    </xf>
    <xf numFmtId="0" fontId="22" fillId="0" borderId="0" xfId="0" applyFont="1" applyAlignment="1"/>
    <xf numFmtId="166" fontId="7" fillId="0" borderId="0" xfId="1" applyNumberFormat="1" applyFont="1" applyProtection="1">
      <protection locked="0"/>
    </xf>
    <xf numFmtId="0" fontId="3" fillId="3" borderId="0" xfId="0" applyFont="1" applyFill="1" applyBorder="1"/>
    <xf numFmtId="0" fontId="8" fillId="3" borderId="0" xfId="0" applyFont="1" applyFill="1" applyBorder="1"/>
    <xf numFmtId="167" fontId="3" fillId="3" borderId="0" xfId="1" applyNumberFormat="1" applyFont="1" applyFill="1" applyBorder="1"/>
    <xf numFmtId="167" fontId="3" fillId="3" borderId="0" xfId="0" applyNumberFormat="1" applyFont="1" applyFill="1" applyBorder="1"/>
    <xf numFmtId="164" fontId="3" fillId="3" borderId="0" xfId="1" applyNumberFormat="1" applyFont="1" applyFill="1" applyBorder="1"/>
    <xf numFmtId="164" fontId="3" fillId="3" borderId="0" xfId="0" applyNumberFormat="1" applyFont="1" applyFill="1" applyBorder="1"/>
    <xf numFmtId="0" fontId="3" fillId="0" borderId="0" xfId="0" applyFont="1" applyAlignment="1">
      <alignment horizontal="left" wrapText="1"/>
    </xf>
    <xf numFmtId="166" fontId="0" fillId="0" borderId="0" xfId="1" applyNumberFormat="1" applyFont="1" applyBorder="1"/>
    <xf numFmtId="166" fontId="0" fillId="0" borderId="0" xfId="1" applyNumberFormat="1" applyFont="1"/>
    <xf numFmtId="166" fontId="23" fillId="0" borderId="0" xfId="1" applyNumberFormat="1" applyFont="1" applyFill="1"/>
    <xf numFmtId="0" fontId="8" fillId="0" borderId="0" xfId="0" applyFont="1" applyFill="1"/>
    <xf numFmtId="165" fontId="7" fillId="0" borderId="9" xfId="0" applyNumberFormat="1" applyFont="1" applyBorder="1"/>
    <xf numFmtId="0" fontId="3" fillId="0" borderId="10" xfId="0" applyFont="1" applyBorder="1"/>
    <xf numFmtId="0" fontId="3" fillId="0" borderId="11" xfId="0" applyFont="1" applyBorder="1"/>
    <xf numFmtId="0" fontId="3" fillId="0" borderId="1" xfId="0" applyFont="1" applyBorder="1"/>
    <xf numFmtId="166" fontId="7" fillId="3" borderId="12" xfId="1" applyNumberFormat="1" applyFont="1" applyFill="1" applyBorder="1" applyProtection="1">
      <protection locked="0"/>
    </xf>
    <xf numFmtId="44" fontId="8" fillId="0" borderId="0" xfId="2" applyFont="1" applyFill="1" applyBorder="1" applyProtection="1">
      <protection locked="0"/>
    </xf>
    <xf numFmtId="0" fontId="27" fillId="0" borderId="0" xfId="0" applyFont="1"/>
    <xf numFmtId="49" fontId="3" fillId="0" borderId="0" xfId="1" applyNumberFormat="1" applyFont="1" applyAlignment="1">
      <alignment horizontal="left"/>
    </xf>
    <xf numFmtId="0" fontId="28" fillId="3" borderId="13" xfId="0" applyFont="1" applyFill="1" applyBorder="1" applyProtection="1">
      <protection locked="0"/>
    </xf>
    <xf numFmtId="0" fontId="0" fillId="0" borderId="4" xfId="0" applyBorder="1"/>
    <xf numFmtId="166" fontId="0" fillId="0" borderId="14" xfId="1" applyNumberFormat="1" applyFont="1" applyBorder="1"/>
    <xf numFmtId="166" fontId="0" fillId="0" borderId="15" xfId="1" applyNumberFormat="1" applyFont="1" applyBorder="1"/>
    <xf numFmtId="0" fontId="3" fillId="0" borderId="4" xfId="0" applyFont="1" applyBorder="1"/>
    <xf numFmtId="0" fontId="3" fillId="0" borderId="4" xfId="0" applyFont="1" applyBorder="1" applyAlignment="1">
      <alignment horizontal="center"/>
    </xf>
    <xf numFmtId="165" fontId="0" fillId="0" borderId="14" xfId="2" applyNumberFormat="1" applyFont="1" applyBorder="1"/>
    <xf numFmtId="165" fontId="0" fillId="0" borderId="15" xfId="2" applyNumberFormat="1" applyFont="1" applyBorder="1"/>
    <xf numFmtId="165" fontId="0" fillId="0" borderId="16" xfId="2" applyNumberFormat="1" applyFont="1" applyBorder="1"/>
    <xf numFmtId="165" fontId="0" fillId="0" borderId="17" xfId="2" applyNumberFormat="1" applyFont="1" applyBorder="1"/>
    <xf numFmtId="165" fontId="0" fillId="0" borderId="18" xfId="2" applyNumberFormat="1" applyFont="1" applyBorder="1"/>
    <xf numFmtId="165" fontId="0" fillId="0" borderId="19" xfId="2" applyNumberFormat="1" applyFont="1" applyBorder="1"/>
    <xf numFmtId="165" fontId="0" fillId="0" borderId="20" xfId="2" applyNumberFormat="1" applyFont="1" applyBorder="1"/>
    <xf numFmtId="165" fontId="0" fillId="0" borderId="21" xfId="2" applyNumberFormat="1" applyFont="1" applyBorder="1"/>
    <xf numFmtId="166" fontId="0" fillId="0" borderId="0" xfId="1" applyNumberFormat="1" applyFont="1" applyFill="1"/>
    <xf numFmtId="44" fontId="0" fillId="0" borderId="0" xfId="2" applyFont="1" applyFill="1"/>
    <xf numFmtId="0" fontId="0" fillId="0" borderId="0" xfId="0" applyFill="1"/>
    <xf numFmtId="0" fontId="3" fillId="0" borderId="4" xfId="0" applyFont="1" applyFill="1" applyBorder="1"/>
    <xf numFmtId="166" fontId="0" fillId="0" borderId="22" xfId="1" applyNumberFormat="1" applyFont="1" applyBorder="1"/>
    <xf numFmtId="165" fontId="0" fillId="0" borderId="22" xfId="2" applyNumberFormat="1" applyFont="1" applyBorder="1"/>
    <xf numFmtId="165" fontId="0" fillId="0" borderId="23" xfId="2" applyNumberFormat="1" applyFont="1" applyBorder="1"/>
    <xf numFmtId="0" fontId="26" fillId="0" borderId="0" xfId="0" applyFont="1"/>
    <xf numFmtId="0" fontId="3" fillId="0" borderId="0" xfId="0" applyFont="1" applyBorder="1" applyAlignment="1">
      <alignment horizontal="centerContinuous"/>
    </xf>
    <xf numFmtId="0" fontId="0" fillId="0" borderId="0" xfId="0" applyBorder="1" applyAlignment="1">
      <alignment horizontal="centerContinuous"/>
    </xf>
    <xf numFmtId="0" fontId="7" fillId="0" borderId="0" xfId="0" applyFont="1" applyBorder="1" applyAlignment="1">
      <alignment horizontal="center"/>
    </xf>
    <xf numFmtId="0" fontId="8" fillId="0" borderId="0" xfId="0" applyFont="1" applyBorder="1" applyAlignment="1">
      <alignment horizontal="center"/>
    </xf>
    <xf numFmtId="0" fontId="8" fillId="0" borderId="0" xfId="0" applyFont="1" applyFill="1" applyBorder="1" applyAlignment="1" applyProtection="1">
      <alignment horizontal="center"/>
      <protection locked="0"/>
    </xf>
    <xf numFmtId="0" fontId="8" fillId="0" borderId="0" xfId="0" applyFont="1" applyFill="1" applyBorder="1" applyAlignment="1">
      <alignment horizontal="center"/>
    </xf>
    <xf numFmtId="166" fontId="8" fillId="0" borderId="0" xfId="1" applyNumberFormat="1" applyFont="1" applyFill="1" applyProtection="1">
      <protection locked="0"/>
    </xf>
    <xf numFmtId="43" fontId="8" fillId="0" borderId="0" xfId="1" applyFont="1" applyFill="1" applyProtection="1">
      <protection locked="0"/>
    </xf>
    <xf numFmtId="44" fontId="8" fillId="0" borderId="0" xfId="2" applyFont="1" applyFill="1" applyProtection="1">
      <protection locked="0"/>
    </xf>
    <xf numFmtId="44" fontId="7" fillId="3" borderId="20" xfId="2" applyFont="1" applyFill="1" applyBorder="1" applyProtection="1">
      <protection locked="0"/>
    </xf>
    <xf numFmtId="44" fontId="7" fillId="3" borderId="21" xfId="2" applyFont="1" applyFill="1" applyBorder="1" applyProtection="1">
      <protection locked="0"/>
    </xf>
    <xf numFmtId="44" fontId="7" fillId="0" borderId="0" xfId="2" applyFont="1" applyFill="1" applyBorder="1" applyProtection="1">
      <protection locked="0"/>
    </xf>
    <xf numFmtId="10" fontId="7" fillId="3" borderId="8" xfId="3" applyNumberFormat="1" applyFont="1" applyFill="1" applyBorder="1" applyProtection="1">
      <protection locked="0"/>
    </xf>
    <xf numFmtId="10" fontId="7" fillId="3" borderId="7" xfId="3" applyNumberFormat="1" applyFont="1" applyFill="1" applyBorder="1" applyProtection="1">
      <protection locked="0"/>
    </xf>
    <xf numFmtId="165" fontId="7" fillId="3" borderId="23" xfId="2" applyNumberFormat="1" applyFont="1" applyFill="1" applyBorder="1" applyProtection="1">
      <protection locked="0"/>
    </xf>
    <xf numFmtId="165" fontId="7" fillId="3" borderId="24" xfId="2" applyNumberFormat="1" applyFont="1" applyFill="1" applyBorder="1" applyProtection="1">
      <protection locked="0"/>
    </xf>
    <xf numFmtId="43" fontId="8" fillId="0" borderId="0" xfId="1" applyFont="1" applyFill="1" applyBorder="1" applyAlignment="1" applyProtection="1">
      <alignment horizontal="center"/>
      <protection locked="0"/>
    </xf>
    <xf numFmtId="0" fontId="3" fillId="3" borderId="0" xfId="0" applyFont="1" applyFill="1" applyAlignment="1" applyProtection="1">
      <protection locked="0"/>
    </xf>
    <xf numFmtId="166" fontId="7" fillId="0" borderId="0" xfId="1" applyNumberFormat="1" applyFont="1" applyBorder="1" applyAlignment="1">
      <alignment horizontal="right"/>
    </xf>
    <xf numFmtId="165" fontId="7" fillId="0" borderId="0" xfId="2" applyNumberFormat="1" applyFont="1" applyBorder="1" applyAlignment="1">
      <alignment horizontal="right"/>
    </xf>
    <xf numFmtId="0" fontId="7" fillId="0" borderId="0" xfId="0" applyFont="1" applyBorder="1" applyAlignment="1">
      <alignment horizontal="right"/>
    </xf>
    <xf numFmtId="44" fontId="7" fillId="0" borderId="0" xfId="2" applyFont="1" applyBorder="1" applyAlignment="1">
      <alignment horizontal="right"/>
    </xf>
    <xf numFmtId="0" fontId="3" fillId="0" borderId="0" xfId="1" applyNumberFormat="1" applyFont="1" applyAlignment="1">
      <alignment horizontal="left"/>
    </xf>
    <xf numFmtId="3" fontId="6" fillId="0" borderId="2" xfId="0" applyNumberFormat="1" applyFont="1" applyFill="1" applyBorder="1" applyAlignment="1">
      <alignment horizontal="right"/>
    </xf>
    <xf numFmtId="3" fontId="7" fillId="0" borderId="0" xfId="0" applyNumberFormat="1" applyFont="1"/>
    <xf numFmtId="3" fontId="0" fillId="0" borderId="0" xfId="0" applyNumberFormat="1"/>
    <xf numFmtId="3" fontId="7" fillId="0" borderId="1" xfId="3" applyNumberFormat="1" applyFont="1" applyFill="1" applyBorder="1"/>
    <xf numFmtId="3" fontId="7" fillId="3" borderId="0" xfId="1" applyNumberFormat="1" applyFont="1" applyFill="1" applyProtection="1">
      <protection locked="0"/>
    </xf>
    <xf numFmtId="3" fontId="7" fillId="2" borderId="0" xfId="1" applyNumberFormat="1" applyFont="1" applyFill="1" applyProtection="1">
      <protection locked="0"/>
    </xf>
    <xf numFmtId="3" fontId="7" fillId="0" borderId="0" xfId="1" applyNumberFormat="1" applyFont="1" applyFill="1"/>
    <xf numFmtId="3" fontId="7" fillId="0" borderId="1" xfId="0" applyNumberFormat="1" applyFont="1" applyBorder="1"/>
    <xf numFmtId="166" fontId="7" fillId="3" borderId="16" xfId="1" applyNumberFormat="1" applyFont="1" applyFill="1" applyBorder="1" applyProtection="1">
      <protection locked="0"/>
    </xf>
    <xf numFmtId="166" fontId="7" fillId="3" borderId="17" xfId="1" applyNumberFormat="1" applyFont="1" applyFill="1" applyBorder="1" applyProtection="1">
      <protection locked="0"/>
    </xf>
    <xf numFmtId="166" fontId="7" fillId="3" borderId="18" xfId="1" applyNumberFormat="1" applyFont="1" applyFill="1" applyBorder="1" applyProtection="1">
      <protection locked="0"/>
    </xf>
    <xf numFmtId="166" fontId="7" fillId="3" borderId="20" xfId="1" applyNumberFormat="1" applyFont="1" applyFill="1" applyBorder="1" applyProtection="1">
      <protection locked="0"/>
    </xf>
    <xf numFmtId="166" fontId="7" fillId="3" borderId="21" xfId="1" applyNumberFormat="1" applyFont="1" applyFill="1" applyBorder="1" applyProtection="1">
      <protection locked="0"/>
    </xf>
    <xf numFmtId="165" fontId="7" fillId="3" borderId="0" xfId="2" applyNumberFormat="1" applyFont="1" applyFill="1" applyBorder="1" applyProtection="1">
      <protection locked="0"/>
    </xf>
    <xf numFmtId="166" fontId="7" fillId="3" borderId="0" xfId="1" applyNumberFormat="1" applyFont="1" applyFill="1" applyBorder="1" applyProtection="1">
      <protection locked="0"/>
    </xf>
    <xf numFmtId="0" fontId="3" fillId="0" borderId="0" xfId="0" applyFont="1" applyBorder="1" applyAlignment="1">
      <alignment horizontal="left" wrapText="1"/>
    </xf>
    <xf numFmtId="165" fontId="7" fillId="0" borderId="0" xfId="0" applyNumberFormat="1" applyFont="1" applyBorder="1"/>
    <xf numFmtId="0" fontId="6" fillId="0" borderId="25" xfId="0" applyFont="1" applyBorder="1"/>
    <xf numFmtId="0" fontId="6" fillId="0" borderId="9" xfId="0" applyFont="1" applyBorder="1"/>
    <xf numFmtId="0" fontId="7" fillId="0" borderId="9" xfId="0" applyFont="1" applyBorder="1"/>
    <xf numFmtId="165" fontId="7" fillId="0" borderId="26" xfId="0" applyNumberFormat="1" applyFont="1" applyBorder="1"/>
    <xf numFmtId="9" fontId="7" fillId="3" borderId="27" xfId="3" applyFont="1" applyFill="1" applyBorder="1" applyProtection="1">
      <protection locked="0"/>
    </xf>
    <xf numFmtId="166" fontId="7" fillId="3" borderId="27" xfId="1" applyNumberFormat="1" applyFont="1" applyFill="1" applyBorder="1" applyProtection="1">
      <protection locked="0"/>
    </xf>
    <xf numFmtId="0" fontId="3" fillId="0" borderId="28" xfId="0" applyFont="1" applyBorder="1"/>
    <xf numFmtId="0" fontId="3" fillId="0" borderId="29" xfId="0" applyFont="1" applyBorder="1"/>
    <xf numFmtId="0" fontId="8" fillId="0" borderId="29" xfId="0" applyFont="1" applyBorder="1"/>
    <xf numFmtId="0" fontId="8" fillId="0" borderId="16" xfId="0" applyFont="1" applyBorder="1"/>
    <xf numFmtId="0" fontId="3" fillId="0" borderId="30" xfId="0" applyFont="1" applyBorder="1"/>
    <xf numFmtId="0" fontId="8" fillId="0" borderId="4" xfId="0" applyFont="1" applyBorder="1"/>
    <xf numFmtId="0" fontId="8" fillId="0" borderId="0" xfId="0" applyFont="1" applyProtection="1"/>
    <xf numFmtId="0" fontId="8" fillId="0" borderId="0" xfId="0" applyFont="1" applyFill="1" applyBorder="1" applyProtection="1"/>
    <xf numFmtId="10" fontId="8" fillId="0" borderId="0" xfId="3" applyNumberFormat="1" applyFont="1" applyFill="1" applyProtection="1"/>
    <xf numFmtId="165" fontId="8" fillId="4" borderId="0" xfId="2" applyNumberFormat="1" applyFont="1" applyFill="1" applyProtection="1"/>
    <xf numFmtId="165" fontId="8" fillId="0" borderId="0" xfId="2" applyNumberFormat="1" applyFont="1" applyFill="1" applyBorder="1" applyProtection="1"/>
    <xf numFmtId="166" fontId="8" fillId="0" borderId="0" xfId="1" applyNumberFormat="1" applyFont="1" applyProtection="1"/>
    <xf numFmtId="166" fontId="8" fillId="0" borderId="0" xfId="1" applyNumberFormat="1" applyFont="1" applyFill="1" applyBorder="1" applyProtection="1"/>
    <xf numFmtId="166" fontId="8" fillId="0" borderId="1" xfId="1" applyNumberFormat="1" applyFont="1" applyBorder="1" applyProtection="1"/>
    <xf numFmtId="165" fontId="8" fillId="0" borderId="0" xfId="0" applyNumberFormat="1" applyFont="1" applyFill="1" applyBorder="1" applyProtection="1"/>
    <xf numFmtId="166" fontId="3" fillId="0" borderId="0" xfId="1" applyNumberFormat="1" applyFont="1"/>
    <xf numFmtId="165" fontId="0" fillId="0" borderId="0" xfId="2" applyNumberFormat="1" applyFont="1"/>
    <xf numFmtId="9" fontId="7" fillId="3" borderId="0" xfId="3" applyFont="1" applyFill="1" applyAlignment="1" applyProtection="1">
      <alignment horizontal="right"/>
      <protection locked="0"/>
    </xf>
    <xf numFmtId="165" fontId="0" fillId="0" borderId="1" xfId="2" applyNumberFormat="1" applyFont="1" applyBorder="1"/>
    <xf numFmtId="165" fontId="0" fillId="0" borderId="29" xfId="2" applyNumberFormat="1" applyFont="1" applyBorder="1"/>
    <xf numFmtId="0" fontId="0" fillId="0" borderId="17" xfId="0" applyBorder="1"/>
    <xf numFmtId="0" fontId="3" fillId="0" borderId="0" xfId="0" applyFont="1" applyAlignment="1">
      <alignment horizontal="center" wrapText="1"/>
    </xf>
    <xf numFmtId="165" fontId="7" fillId="3" borderId="19" xfId="2" applyNumberFormat="1" applyFont="1" applyFill="1" applyBorder="1" applyProtection="1">
      <protection locked="0"/>
    </xf>
    <xf numFmtId="165" fontId="7" fillId="3" borderId="20" xfId="2" applyNumberFormat="1" applyFont="1" applyFill="1" applyBorder="1" applyProtection="1">
      <protection locked="0"/>
    </xf>
    <xf numFmtId="165" fontId="7" fillId="3" borderId="21" xfId="2" applyNumberFormat="1" applyFont="1" applyFill="1" applyBorder="1" applyProtection="1">
      <protection locked="0"/>
    </xf>
    <xf numFmtId="165" fontId="7" fillId="3" borderId="7" xfId="2" applyNumberFormat="1" applyFont="1" applyFill="1" applyBorder="1" applyProtection="1">
      <protection locked="0"/>
    </xf>
    <xf numFmtId="166" fontId="3" fillId="0" borderId="0" xfId="1" applyNumberFormat="1" applyFont="1" applyBorder="1"/>
    <xf numFmtId="166" fontId="3" fillId="0" borderId="1" xfId="1" applyNumberFormat="1" applyFont="1" applyBorder="1"/>
    <xf numFmtId="166" fontId="3" fillId="0" borderId="3" xfId="1" applyNumberFormat="1" applyFont="1" applyBorder="1"/>
    <xf numFmtId="10" fontId="3" fillId="0" borderId="0" xfId="3" applyNumberFormat="1" applyFont="1" applyBorder="1"/>
    <xf numFmtId="10" fontId="3" fillId="0" borderId="0" xfId="3" applyNumberFormat="1" applyFont="1"/>
    <xf numFmtId="10" fontId="3" fillId="0" borderId="0" xfId="3" applyNumberFormat="1" applyFont="1" applyBorder="1" applyAlignment="1">
      <alignment horizontal="left" indent="3"/>
    </xf>
    <xf numFmtId="166" fontId="3" fillId="0" borderId="1" xfId="0" applyNumberFormat="1" applyFont="1" applyBorder="1"/>
    <xf numFmtId="166" fontId="3" fillId="0" borderId="0" xfId="0" applyNumberFormat="1" applyFont="1"/>
    <xf numFmtId="166" fontId="3" fillId="0" borderId="0" xfId="3" applyNumberFormat="1" applyFont="1" applyBorder="1"/>
    <xf numFmtId="166" fontId="3" fillId="0" borderId="6" xfId="1" applyNumberFormat="1" applyFont="1" applyFill="1" applyBorder="1"/>
    <xf numFmtId="166" fontId="3" fillId="0" borderId="3" xfId="1" applyNumberFormat="1" applyFont="1" applyFill="1" applyBorder="1"/>
    <xf numFmtId="166" fontId="29" fillId="4" borderId="0" xfId="1" applyNumberFormat="1" applyFont="1" applyFill="1"/>
    <xf numFmtId="0" fontId="30" fillId="0" borderId="0" xfId="0" applyFont="1"/>
    <xf numFmtId="165" fontId="3" fillId="0" borderId="6" xfId="2" applyNumberFormat="1" applyFont="1" applyBorder="1"/>
    <xf numFmtId="0" fontId="31" fillId="0" borderId="0" xfId="0" applyFont="1" applyAlignment="1">
      <alignment horizontal="right"/>
    </xf>
    <xf numFmtId="3" fontId="31" fillId="0" borderId="0" xfId="0" applyNumberFormat="1" applyFont="1"/>
    <xf numFmtId="0" fontId="31" fillId="0" borderId="0" xfId="0" applyFont="1"/>
    <xf numFmtId="44" fontId="31" fillId="3" borderId="0" xfId="2" applyFont="1" applyFill="1" applyAlignment="1" applyProtection="1">
      <alignment horizontal="right"/>
      <protection locked="0"/>
    </xf>
    <xf numFmtId="10" fontId="31" fillId="0" borderId="0" xfId="3" applyNumberFormat="1" applyFont="1" applyAlignment="1">
      <alignment horizontal="right"/>
    </xf>
    <xf numFmtId="10" fontId="31" fillId="0" borderId="0" xfId="3" applyNumberFormat="1" applyFont="1" applyBorder="1" applyAlignment="1">
      <alignment horizontal="right"/>
    </xf>
    <xf numFmtId="44" fontId="31" fillId="0" borderId="0" xfId="2" applyNumberFormat="1" applyFont="1" applyAlignment="1">
      <alignment horizontal="right"/>
    </xf>
    <xf numFmtId="3" fontId="31" fillId="3" borderId="0" xfId="1" applyNumberFormat="1" applyFont="1" applyFill="1" applyProtection="1">
      <protection locked="0"/>
    </xf>
    <xf numFmtId="10" fontId="31" fillId="3" borderId="0" xfId="3" applyNumberFormat="1" applyFont="1" applyFill="1" applyAlignment="1" applyProtection="1">
      <alignment horizontal="right"/>
      <protection locked="0"/>
    </xf>
    <xf numFmtId="0" fontId="31" fillId="0" borderId="0" xfId="0" applyFont="1" applyAlignment="1">
      <alignment horizontal="left"/>
    </xf>
    <xf numFmtId="3" fontId="31" fillId="0" borderId="0" xfId="1" applyNumberFormat="1" applyFont="1" applyFill="1"/>
    <xf numFmtId="165" fontId="31" fillId="0" borderId="0" xfId="2" applyNumberFormat="1" applyFont="1" applyAlignment="1">
      <alignment horizontal="right"/>
    </xf>
    <xf numFmtId="166" fontId="31" fillId="0" borderId="0" xfId="1" applyNumberFormat="1" applyFont="1" applyBorder="1" applyAlignment="1">
      <alignment horizontal="right"/>
    </xf>
    <xf numFmtId="44" fontId="31" fillId="0" borderId="0" xfId="2" applyFont="1" applyAlignment="1">
      <alignment horizontal="right"/>
    </xf>
    <xf numFmtId="166" fontId="31" fillId="0" borderId="0" xfId="1" applyNumberFormat="1" applyFont="1" applyAlignment="1">
      <alignment horizontal="right"/>
    </xf>
    <xf numFmtId="10" fontId="31" fillId="0" borderId="1" xfId="3" applyNumberFormat="1" applyFont="1" applyFill="1" applyBorder="1"/>
    <xf numFmtId="10" fontId="31" fillId="0" borderId="1" xfId="0" applyNumberFormat="1" applyFont="1" applyBorder="1"/>
    <xf numFmtId="166" fontId="31" fillId="3" borderId="0" xfId="1" applyNumberFormat="1" applyFont="1" applyFill="1" applyProtection="1">
      <protection locked="0"/>
    </xf>
    <xf numFmtId="166" fontId="31" fillId="0" borderId="0" xfId="0" applyNumberFormat="1" applyFont="1"/>
    <xf numFmtId="166" fontId="31" fillId="2" borderId="0" xfId="1" applyNumberFormat="1" applyFont="1" applyFill="1" applyProtection="1">
      <protection locked="0"/>
    </xf>
    <xf numFmtId="166" fontId="31" fillId="0" borderId="0" xfId="1" applyNumberFormat="1" applyFont="1" applyFill="1"/>
    <xf numFmtId="166" fontId="31" fillId="0" borderId="4" xfId="1" applyNumberFormat="1" applyFont="1" applyBorder="1" applyAlignment="1">
      <alignment horizontal="right"/>
    </xf>
    <xf numFmtId="166" fontId="31" fillId="0" borderId="5" xfId="1" applyNumberFormat="1" applyFont="1" applyBorder="1" applyAlignment="1">
      <alignment horizontal="right"/>
    </xf>
    <xf numFmtId="166" fontId="31" fillId="0" borderId="0" xfId="1" applyNumberFormat="1" applyFont="1"/>
    <xf numFmtId="0" fontId="31" fillId="0" borderId="0" xfId="0" applyFont="1" applyFill="1" applyBorder="1"/>
    <xf numFmtId="166" fontId="31" fillId="0" borderId="0" xfId="1" applyNumberFormat="1" applyFont="1" applyFill="1" applyBorder="1" applyAlignment="1">
      <alignment horizontal="right"/>
    </xf>
    <xf numFmtId="10" fontId="31" fillId="0" borderId="0" xfId="3" applyNumberFormat="1" applyFont="1" applyFill="1" applyBorder="1" applyAlignment="1">
      <alignment horizontal="right"/>
    </xf>
    <xf numFmtId="166" fontId="31" fillId="0" borderId="0" xfId="1" applyNumberFormat="1" applyFont="1" applyFill="1" applyBorder="1"/>
    <xf numFmtId="166" fontId="31" fillId="0" borderId="0" xfId="0" applyNumberFormat="1" applyFont="1" applyFill="1" applyBorder="1"/>
    <xf numFmtId="0" fontId="31" fillId="2" borderId="0" xfId="0" applyFont="1" applyFill="1" applyBorder="1"/>
    <xf numFmtId="165" fontId="7" fillId="0" borderId="0" xfId="2" applyNumberFormat="1" applyFont="1" applyFill="1" applyBorder="1" applyProtection="1">
      <protection locked="0"/>
    </xf>
    <xf numFmtId="166" fontId="7" fillId="0" borderId="0" xfId="1" applyNumberFormat="1" applyFont="1" applyFill="1" applyBorder="1" applyProtection="1">
      <protection locked="0"/>
    </xf>
    <xf numFmtId="166" fontId="7" fillId="5" borderId="0" xfId="1" applyNumberFormat="1" applyFont="1" applyFill="1" applyBorder="1" applyProtection="1">
      <protection locked="0"/>
    </xf>
    <xf numFmtId="166" fontId="7" fillId="5" borderId="1" xfId="1" applyNumberFormat="1" applyFont="1" applyFill="1" applyBorder="1" applyProtection="1">
      <protection locked="0"/>
    </xf>
    <xf numFmtId="0" fontId="0" fillId="0" borderId="0" xfId="0" applyFont="1" applyAlignment="1">
      <alignment horizontal="right"/>
    </xf>
    <xf numFmtId="0" fontId="0" fillId="0" borderId="0" xfId="0" applyFont="1" applyAlignment="1">
      <alignment horizontal="center" wrapText="1"/>
    </xf>
    <xf numFmtId="0" fontId="7" fillId="0" borderId="0" xfId="0" applyFont="1" applyBorder="1"/>
    <xf numFmtId="0" fontId="6" fillId="0" borderId="1" xfId="0" applyFont="1" applyBorder="1" applyAlignment="1">
      <alignment horizontal="right"/>
    </xf>
    <xf numFmtId="0" fontId="3" fillId="0" borderId="1" xfId="0" applyFont="1" applyBorder="1" applyAlignment="1">
      <alignment horizontal="center" wrapText="1"/>
    </xf>
    <xf numFmtId="165" fontId="7" fillId="5" borderId="0" xfId="2" applyNumberFormat="1" applyFont="1" applyFill="1" applyBorder="1" applyProtection="1">
      <protection locked="0"/>
    </xf>
    <xf numFmtId="0" fontId="34" fillId="0" borderId="0" xfId="0" applyFont="1"/>
    <xf numFmtId="0" fontId="35" fillId="0" borderId="0" xfId="0" applyFont="1"/>
    <xf numFmtId="0" fontId="36" fillId="0" borderId="0" xfId="0" applyFont="1"/>
    <xf numFmtId="44" fontId="0" fillId="0" borderId="1" xfId="2" applyNumberFormat="1" applyFont="1" applyBorder="1"/>
    <xf numFmtId="44" fontId="0" fillId="0" borderId="0" xfId="2" applyNumberFormat="1" applyFont="1"/>
    <xf numFmtId="166" fontId="8" fillId="0" borderId="1" xfId="1" applyNumberFormat="1" applyFont="1" applyBorder="1" applyProtection="1">
      <protection locked="0"/>
    </xf>
    <xf numFmtId="166" fontId="8" fillId="0" borderId="0" xfId="1" applyNumberFormat="1" applyFont="1" applyFill="1" applyBorder="1" applyProtection="1">
      <protection locked="0"/>
    </xf>
    <xf numFmtId="166" fontId="8" fillId="0" borderId="4" xfId="1" applyNumberFormat="1" applyFont="1" applyFill="1" applyBorder="1" applyProtection="1"/>
    <xf numFmtId="44" fontId="0" fillId="0" borderId="0" xfId="2" applyFont="1"/>
    <xf numFmtId="165" fontId="0" fillId="0" borderId="0" xfId="0" applyNumberFormat="1"/>
    <xf numFmtId="0" fontId="37" fillId="0" borderId="0" xfId="0" applyFont="1"/>
    <xf numFmtId="0" fontId="38" fillId="0" borderId="0" xfId="0" applyFont="1"/>
    <xf numFmtId="10" fontId="38" fillId="3" borderId="0" xfId="3" applyNumberFormat="1" applyFont="1" applyFill="1" applyAlignment="1" applyProtection="1">
      <alignment horizontal="right"/>
      <protection locked="0"/>
    </xf>
    <xf numFmtId="166" fontId="3" fillId="0" borderId="4" xfId="1" applyNumberFormat="1" applyFont="1" applyBorder="1"/>
    <xf numFmtId="166" fontId="3" fillId="0" borderId="6" xfId="0" applyNumberFormat="1" applyFont="1" applyBorder="1"/>
    <xf numFmtId="165" fontId="11" fillId="0" borderId="0" xfId="2" applyNumberFormat="1" applyFont="1"/>
    <xf numFmtId="0" fontId="39" fillId="0" borderId="0" xfId="0" applyFont="1"/>
    <xf numFmtId="0" fontId="40" fillId="0" borderId="0" xfId="0" applyFont="1"/>
    <xf numFmtId="0" fontId="40" fillId="0" borderId="0" xfId="0" applyFont="1" applyFill="1" applyBorder="1"/>
    <xf numFmtId="0" fontId="0" fillId="5" borderId="0" xfId="0" applyFill="1" applyAlignment="1">
      <alignment horizontal="right"/>
    </xf>
    <xf numFmtId="0" fontId="0" fillId="5" borderId="30" xfId="0" applyFill="1" applyBorder="1" applyAlignment="1">
      <alignment horizontal="right"/>
    </xf>
    <xf numFmtId="166" fontId="41" fillId="0" borderId="0" xfId="0" applyNumberFormat="1" applyFont="1"/>
    <xf numFmtId="0" fontId="41" fillId="0" borderId="0" xfId="0" applyFont="1"/>
    <xf numFmtId="0" fontId="3" fillId="0" borderId="1" xfId="0" applyFont="1" applyBorder="1" applyAlignment="1">
      <alignment horizontal="right"/>
    </xf>
    <xf numFmtId="0" fontId="3" fillId="6" borderId="0" xfId="0" applyFont="1" applyFill="1"/>
    <xf numFmtId="0" fontId="7" fillId="6" borderId="0" xfId="0" applyFont="1" applyFill="1"/>
    <xf numFmtId="0" fontId="32" fillId="0" borderId="0" xfId="0" applyFont="1"/>
    <xf numFmtId="0" fontId="33" fillId="0" borderId="0" xfId="0" applyFont="1"/>
    <xf numFmtId="166" fontId="41" fillId="0" borderId="0" xfId="1" applyNumberFormat="1" applyFont="1" applyBorder="1" applyAlignment="1">
      <alignment horizontal="right"/>
    </xf>
    <xf numFmtId="10" fontId="41" fillId="0" borderId="0" xfId="3" applyNumberFormat="1" applyFont="1" applyAlignment="1">
      <alignment horizontal="right"/>
    </xf>
    <xf numFmtId="0" fontId="41" fillId="0" borderId="0" xfId="0" applyFont="1" applyAlignment="1">
      <alignment horizontal="right"/>
    </xf>
    <xf numFmtId="3" fontId="41" fillId="0" borderId="0" xfId="0" applyNumberFormat="1" applyFont="1"/>
    <xf numFmtId="165" fontId="41" fillId="0" borderId="0" xfId="2" applyNumberFormat="1" applyFont="1"/>
    <xf numFmtId="165" fontId="0" fillId="0" borderId="0" xfId="2" applyNumberFormat="1" applyFont="1" applyBorder="1"/>
    <xf numFmtId="49" fontId="3" fillId="0" borderId="0" xfId="0" applyNumberFormat="1" applyFont="1"/>
    <xf numFmtId="44" fontId="7" fillId="0" borderId="4" xfId="2" applyFont="1" applyBorder="1"/>
    <xf numFmtId="44" fontId="0" fillId="0" borderId="0" xfId="0" applyNumberFormat="1"/>
    <xf numFmtId="44" fontId="0" fillId="0" borderId="0" xfId="2" applyFont="1" applyBorder="1"/>
    <xf numFmtId="0" fontId="3" fillId="0" borderId="0" xfId="0" applyNumberFormat="1" applyFont="1"/>
    <xf numFmtId="10" fontId="8" fillId="0" borderId="0" xfId="0" applyNumberFormat="1" applyFont="1"/>
    <xf numFmtId="44" fontId="0" fillId="0" borderId="4" xfId="2" applyFont="1" applyBorder="1"/>
    <xf numFmtId="49" fontId="2" fillId="0" borderId="0" xfId="0" applyNumberFormat="1" applyFont="1"/>
    <xf numFmtId="49" fontId="42" fillId="0" borderId="0" xfId="0" applyNumberFormat="1" applyFont="1"/>
    <xf numFmtId="49" fontId="43" fillId="0" borderId="0" xfId="0" applyNumberFormat="1" applyFont="1"/>
    <xf numFmtId="44" fontId="0" fillId="0" borderId="29" xfId="0" applyNumberFormat="1" applyBorder="1"/>
    <xf numFmtId="0" fontId="42" fillId="0" borderId="0" xfId="0" applyNumberFormat="1" applyFont="1"/>
    <xf numFmtId="44" fontId="0" fillId="0" borderId="29" xfId="2" applyFont="1" applyBorder="1"/>
    <xf numFmtId="165" fontId="1" fillId="3" borderId="0" xfId="2" applyNumberFormat="1" applyFont="1" applyFill="1" applyProtection="1">
      <protection locked="0"/>
    </xf>
    <xf numFmtId="165" fontId="1" fillId="3" borderId="1" xfId="2" applyNumberFormat="1" applyFont="1" applyFill="1" applyBorder="1" applyProtection="1">
      <protection locked="0"/>
    </xf>
    <xf numFmtId="165" fontId="1" fillId="3" borderId="0" xfId="2" applyNumberFormat="1" applyFont="1" applyFill="1" applyBorder="1" applyProtection="1">
      <protection locked="0"/>
    </xf>
    <xf numFmtId="44" fontId="1" fillId="3" borderId="19" xfId="2" applyFont="1" applyFill="1" applyBorder="1" applyProtection="1">
      <protection locked="0"/>
    </xf>
    <xf numFmtId="166" fontId="1" fillId="3" borderId="16" xfId="1" applyNumberFormat="1" applyFont="1" applyFill="1" applyBorder="1" applyProtection="1">
      <protection locked="0"/>
    </xf>
    <xf numFmtId="44" fontId="1" fillId="3" borderId="20" xfId="2" applyFont="1" applyFill="1" applyBorder="1" applyProtection="1">
      <protection locked="0"/>
    </xf>
    <xf numFmtId="166" fontId="1" fillId="3" borderId="17" xfId="1" applyNumberFormat="1" applyFont="1" applyFill="1" applyBorder="1" applyProtection="1">
      <protection locked="0"/>
    </xf>
    <xf numFmtId="166" fontId="1" fillId="3" borderId="19" xfId="1" applyNumberFormat="1" applyFont="1" applyFill="1" applyBorder="1" applyProtection="1">
      <protection locked="0"/>
    </xf>
    <xf numFmtId="166" fontId="1" fillId="3" borderId="20" xfId="1" applyNumberFormat="1" applyFont="1" applyFill="1" applyBorder="1" applyProtection="1">
      <protection locked="0"/>
    </xf>
    <xf numFmtId="0" fontId="3" fillId="0" borderId="18" xfId="0" applyFont="1" applyBorder="1" applyAlignment="1">
      <alignment horizontal="center"/>
    </xf>
    <xf numFmtId="0" fontId="3" fillId="3" borderId="0" xfId="0" applyFont="1" applyFill="1" applyProtection="1">
      <protection locked="0"/>
    </xf>
    <xf numFmtId="0" fontId="1" fillId="0" borderId="0" xfId="0" applyFont="1" applyAlignment="1">
      <alignment horizontal="right"/>
    </xf>
    <xf numFmtId="44" fontId="1" fillId="3" borderId="0" xfId="2" applyFont="1" applyFill="1" applyAlignment="1" applyProtection="1">
      <alignment horizontal="right"/>
      <protection locked="0"/>
    </xf>
    <xf numFmtId="166" fontId="1" fillId="3" borderId="0" xfId="1" applyNumberFormat="1" applyFont="1" applyFill="1" applyProtection="1">
      <protection locked="0"/>
    </xf>
    <xf numFmtId="166" fontId="1" fillId="3" borderId="0" xfId="1" applyNumberFormat="1" applyFont="1" applyFill="1" applyBorder="1" applyProtection="1">
      <protection locked="0"/>
    </xf>
    <xf numFmtId="166" fontId="1" fillId="5" borderId="1" xfId="1" applyNumberFormat="1" applyFont="1" applyFill="1" applyBorder="1" applyProtection="1">
      <protection locked="0"/>
    </xf>
    <xf numFmtId="44" fontId="31" fillId="0" borderId="4" xfId="2" applyNumberFormat="1" applyFont="1" applyFill="1" applyBorder="1" applyAlignment="1" applyProtection="1">
      <alignment horizontal="right"/>
    </xf>
    <xf numFmtId="166" fontId="3" fillId="7" borderId="0" xfId="1" applyNumberFormat="1" applyFont="1" applyFill="1" applyBorder="1" applyProtection="1">
      <protection locked="0"/>
    </xf>
    <xf numFmtId="166" fontId="3" fillId="7" borderId="1" xfId="1" applyNumberFormat="1" applyFont="1" applyFill="1" applyBorder="1" applyProtection="1">
      <protection locked="0"/>
    </xf>
    <xf numFmtId="166" fontId="8" fillId="7" borderId="1" xfId="1" applyNumberFormat="1" applyFont="1" applyFill="1" applyBorder="1" applyProtection="1">
      <protection locked="0"/>
    </xf>
    <xf numFmtId="166" fontId="8" fillId="7" borderId="0" xfId="1" applyNumberFormat="1" applyFont="1" applyFill="1" applyBorder="1" applyProtection="1">
      <protection locked="0"/>
    </xf>
    <xf numFmtId="44" fontId="44" fillId="0" borderId="0" xfId="2" applyFont="1"/>
    <xf numFmtId="0" fontId="31" fillId="8" borderId="0" xfId="0" applyFont="1" applyFill="1"/>
    <xf numFmtId="10" fontId="0" fillId="0" borderId="17" xfId="3" applyNumberFormat="1" applyFont="1" applyBorder="1"/>
    <xf numFmtId="10" fontId="0" fillId="0" borderId="0" xfId="3" applyNumberFormat="1" applyFont="1" applyAlignment="1">
      <alignment horizontal="right"/>
    </xf>
    <xf numFmtId="169" fontId="0" fillId="0" borderId="0" xfId="2" applyNumberFormat="1" applyFont="1"/>
    <xf numFmtId="169" fontId="0" fillId="0" borderId="17" xfId="2" applyNumberFormat="1" applyFont="1" applyBorder="1"/>
    <xf numFmtId="169" fontId="3" fillId="0" borderId="0" xfId="2" applyNumberFormat="1" applyFont="1" applyAlignment="1">
      <alignment horizontal="center"/>
    </xf>
    <xf numFmtId="0" fontId="1" fillId="0" borderId="0" xfId="0" applyFont="1" applyFill="1" applyAlignment="1">
      <alignment horizontal="right"/>
    </xf>
    <xf numFmtId="0" fontId="31" fillId="0" borderId="0" xfId="0" applyFont="1" applyFill="1" applyAlignment="1">
      <alignment horizontal="right"/>
    </xf>
    <xf numFmtId="0" fontId="31" fillId="0" borderId="0" xfId="0" applyFont="1" applyFill="1"/>
    <xf numFmtId="166" fontId="7" fillId="0" borderId="0" xfId="1" applyNumberFormat="1" applyFont="1" applyFill="1" applyProtection="1"/>
    <xf numFmtId="166" fontId="7" fillId="0" borderId="0" xfId="1" applyNumberFormat="1" applyFont="1" applyBorder="1" applyProtection="1"/>
    <xf numFmtId="10" fontId="0" fillId="0" borderId="0" xfId="3" applyNumberFormat="1" applyFont="1"/>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7.0826166892902886E-2"/>
          <c:y val="9.4205975036819461E-2"/>
          <c:w val="0.77049645746727768"/>
          <c:h val="0.88886085947720483"/>
        </c:manualLayout>
      </c:layout>
      <c:lineChart>
        <c:grouping val="standard"/>
        <c:varyColors val="0"/>
        <c:ser>
          <c:idx val="0"/>
          <c:order val="0"/>
          <c:tx>
            <c:strRef>
              <c:f>'22. Cash Flow Graph'!$A$89</c:f>
              <c:strCache>
                <c:ptCount val="1"/>
                <c:pt idx="0">
                  <c:v>Cumulative Cash Flow</c:v>
                </c:pt>
              </c:strCache>
            </c:strRef>
          </c:tx>
          <c:spPr>
            <a:ln w="25400">
              <a:solidFill>
                <a:srgbClr val="666699"/>
              </a:solidFill>
              <a:prstDash val="solid"/>
            </a:ln>
          </c:spPr>
          <c:marker>
            <c:symbol val="none"/>
          </c:marker>
          <c:val>
            <c:numRef>
              <c:f>'22. Cash Flow Graph'!$B$89:$AK$89</c:f>
              <c:numCache>
                <c:formatCode>_(* #,##0_);_(* \(#,##0\);_(* "-"??_);_(@_)</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0-1565-44A7-990D-A41A6D1F1D38}"/>
            </c:ext>
          </c:extLst>
        </c:ser>
        <c:dLbls>
          <c:showLegendKey val="0"/>
          <c:showVal val="0"/>
          <c:showCatName val="0"/>
          <c:showSerName val="0"/>
          <c:showPercent val="0"/>
          <c:showBubbleSize val="0"/>
        </c:dLbls>
        <c:smooth val="0"/>
        <c:axId val="450163464"/>
        <c:axId val="1"/>
      </c:lineChart>
      <c:catAx>
        <c:axId val="45016346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_(* #,##0_);_(* \(#,##0\);_(* &quot;-&quot;??_);_(@_)"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50163464"/>
        <c:crosses val="autoZero"/>
        <c:crossBetween val="between"/>
      </c:valAx>
      <c:spPr>
        <a:solidFill>
          <a:srgbClr val="FFFFFF"/>
        </a:solidFill>
        <a:ln w="25400">
          <a:noFill/>
        </a:ln>
      </c:spPr>
    </c:plotArea>
    <c:legend>
      <c:legendPos val="r"/>
      <c:layout>
        <c:manualLayout>
          <c:xMode val="edge"/>
          <c:yMode val="edge"/>
          <c:x val="0.88075956630082486"/>
          <c:y val="0.58463949843260188"/>
          <c:w val="0.11201454831696178"/>
          <c:h val="3.1347962382445194E-2"/>
        </c:manualLayout>
      </c:layout>
      <c:overlay val="0"/>
      <c:spPr>
        <a:noFill/>
        <a:ln w="25400">
          <a:noFill/>
        </a:ln>
      </c:spPr>
      <c:txPr>
        <a:bodyPr/>
        <a:lstStyle/>
        <a:p>
          <a:pPr>
            <a:defRPr sz="5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9525</xdr:rowOff>
    </xdr:from>
    <xdr:to>
      <xdr:col>13</xdr:col>
      <xdr:colOff>619125</xdr:colOff>
      <xdr:row>39</xdr:row>
      <xdr:rowOff>142875</xdr:rowOff>
    </xdr:to>
    <xdr:graphicFrame macro="">
      <xdr:nvGraphicFramePr>
        <xdr:cNvPr id="12869" name="Chart 3">
          <a:extLst>
            <a:ext uri="{FF2B5EF4-FFF2-40B4-BE49-F238E27FC236}">
              <a16:creationId xmlns:a16="http://schemas.microsoft.com/office/drawing/2014/main" id="{F90AC114-7D91-45B6-BFFE-22671E02E3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B1:J35"/>
  <sheetViews>
    <sheetView showGridLines="0" showRowColHeaders="0" tabSelected="1" workbookViewId="0">
      <selection activeCell="B21" sqref="B21"/>
    </sheetView>
  </sheetViews>
  <sheetFormatPr defaultColWidth="8.85546875" defaultRowHeight="12"/>
  <cols>
    <col min="1" max="1" width="7.85546875" customWidth="1"/>
    <col min="2" max="2" width="33.85546875" customWidth="1"/>
    <col min="3" max="3" width="15.140625" customWidth="1"/>
  </cols>
  <sheetData>
    <row r="1" spans="2:10" ht="18">
      <c r="B1" s="97" t="s">
        <v>55</v>
      </c>
    </row>
    <row r="2" spans="2:10" ht="18">
      <c r="B2" s="97"/>
    </row>
    <row r="3" spans="2:10" ht="33.75">
      <c r="B3" s="361" t="s">
        <v>113</v>
      </c>
    </row>
    <row r="5" spans="2:10">
      <c r="B5" s="23" t="s">
        <v>137</v>
      </c>
      <c r="C5" s="23"/>
      <c r="D5" s="23"/>
      <c r="E5" s="23"/>
      <c r="F5" s="23"/>
      <c r="G5" s="23"/>
      <c r="H5" s="23"/>
      <c r="I5" s="23"/>
      <c r="J5" s="23"/>
    </row>
    <row r="6" spans="2:10">
      <c r="B6" s="23"/>
      <c r="C6" s="23"/>
      <c r="D6" s="23"/>
      <c r="E6" s="23"/>
      <c r="F6" s="23"/>
      <c r="G6" s="23"/>
      <c r="H6" s="23"/>
      <c r="I6" s="23"/>
      <c r="J6" s="23"/>
    </row>
    <row r="7" spans="2:10">
      <c r="B7" s="23" t="s">
        <v>110</v>
      </c>
      <c r="C7" s="23"/>
      <c r="D7" s="23"/>
      <c r="E7" s="23"/>
      <c r="F7" s="23"/>
      <c r="G7" s="23"/>
      <c r="H7" s="23"/>
      <c r="I7" s="23"/>
      <c r="J7" s="23"/>
    </row>
    <row r="8" spans="2:10">
      <c r="B8" s="159" t="s">
        <v>111</v>
      </c>
      <c r="C8" s="160">
        <v>0</v>
      </c>
      <c r="D8" s="23"/>
      <c r="E8" s="23"/>
      <c r="F8" s="23"/>
      <c r="G8" s="23"/>
      <c r="H8" s="23"/>
      <c r="I8" s="23"/>
      <c r="J8" s="23"/>
    </row>
    <row r="9" spans="2:10">
      <c r="B9" s="23"/>
      <c r="C9" s="23"/>
      <c r="D9" s="23"/>
      <c r="E9" s="23"/>
      <c r="F9" s="23"/>
      <c r="G9" s="23"/>
      <c r="H9" s="23"/>
      <c r="I9" s="23"/>
      <c r="J9" s="23"/>
    </row>
    <row r="10" spans="2:10">
      <c r="B10" s="161" t="s">
        <v>144</v>
      </c>
      <c r="C10" s="23"/>
      <c r="D10" s="23"/>
      <c r="E10" s="23"/>
      <c r="F10" s="23"/>
      <c r="G10" s="23"/>
      <c r="H10" s="23"/>
      <c r="I10" s="23"/>
      <c r="J10" s="23"/>
    </row>
    <row r="11" spans="2:10">
      <c r="B11" s="159" t="s">
        <v>112</v>
      </c>
      <c r="C11" s="162">
        <v>0</v>
      </c>
      <c r="D11" s="23"/>
      <c r="E11" s="23"/>
      <c r="F11" s="23"/>
      <c r="G11" s="23"/>
      <c r="H11" s="23"/>
      <c r="I11" s="23"/>
      <c r="J11" s="23"/>
    </row>
    <row r="12" spans="2:10">
      <c r="B12" s="23"/>
      <c r="C12" s="23"/>
      <c r="D12" s="23"/>
      <c r="E12" s="23"/>
      <c r="F12" s="23"/>
      <c r="G12" s="23"/>
      <c r="H12" s="23"/>
      <c r="I12" s="23"/>
      <c r="J12" s="23"/>
    </row>
    <row r="13" spans="2:10">
      <c r="B13" s="23" t="s">
        <v>145</v>
      </c>
      <c r="C13" s="23"/>
      <c r="D13" s="23"/>
      <c r="E13" s="23"/>
      <c r="F13" s="23"/>
      <c r="G13" s="23"/>
      <c r="H13" s="23"/>
      <c r="I13" s="23"/>
      <c r="J13" s="23"/>
    </row>
    <row r="14" spans="2:10">
      <c r="B14" s="23" t="s">
        <v>140</v>
      </c>
      <c r="C14" s="23"/>
      <c r="D14" s="23"/>
      <c r="E14" s="23"/>
      <c r="F14" s="23"/>
      <c r="G14" s="23"/>
      <c r="H14" s="23"/>
      <c r="I14" s="23"/>
      <c r="J14" s="23"/>
    </row>
    <row r="15" spans="2:10">
      <c r="B15" s="23" t="s">
        <v>143</v>
      </c>
      <c r="C15" s="23"/>
      <c r="D15" s="23"/>
      <c r="E15" s="23"/>
      <c r="F15" s="23"/>
      <c r="G15" s="23"/>
      <c r="H15" s="23"/>
      <c r="I15" s="23"/>
      <c r="J15" s="23"/>
    </row>
    <row r="16" spans="2:10">
      <c r="B16" s="23" t="s">
        <v>141</v>
      </c>
      <c r="C16" s="23"/>
      <c r="D16" s="23"/>
      <c r="E16" s="23"/>
      <c r="F16" s="23"/>
      <c r="G16" s="23"/>
      <c r="H16" s="23"/>
      <c r="I16" s="23"/>
      <c r="J16" s="23"/>
    </row>
    <row r="17" spans="2:10">
      <c r="B17" s="23"/>
      <c r="C17" s="23"/>
      <c r="D17" s="23"/>
      <c r="E17" s="23"/>
      <c r="F17" s="23"/>
      <c r="G17" s="23"/>
      <c r="H17" s="23"/>
      <c r="I17" s="23"/>
      <c r="J17" s="23"/>
    </row>
    <row r="18" spans="2:10">
      <c r="B18" s="23" t="s">
        <v>139</v>
      </c>
      <c r="C18" s="23"/>
      <c r="D18" s="23"/>
      <c r="E18" s="23"/>
      <c r="F18" s="23"/>
      <c r="G18" s="23"/>
      <c r="H18" s="23"/>
      <c r="I18" s="23"/>
      <c r="J18" s="23"/>
    </row>
    <row r="19" spans="2:10" ht="23.25">
      <c r="B19" s="360" t="s">
        <v>398</v>
      </c>
      <c r="C19" s="23"/>
      <c r="D19" s="23"/>
      <c r="E19" s="23"/>
      <c r="F19" s="23"/>
      <c r="G19" s="23"/>
      <c r="H19" s="23"/>
      <c r="I19" s="23"/>
      <c r="J19" s="23"/>
    </row>
    <row r="20" spans="2:10" ht="6" customHeight="1">
      <c r="B20" s="23"/>
      <c r="C20" s="23"/>
      <c r="D20" s="23"/>
      <c r="E20" s="23"/>
      <c r="F20" s="23"/>
      <c r="G20" s="23"/>
      <c r="H20" s="23"/>
      <c r="I20" s="23"/>
      <c r="J20" s="23"/>
    </row>
    <row r="21" spans="2:10" ht="18" customHeight="1">
      <c r="B21" s="186"/>
      <c r="C21" s="163"/>
      <c r="D21" s="23"/>
      <c r="E21" s="23"/>
      <c r="F21" s="23"/>
      <c r="G21" s="23"/>
      <c r="H21" s="23"/>
      <c r="I21" s="23"/>
      <c r="J21" s="23"/>
    </row>
    <row r="22" spans="2:10">
      <c r="B22" s="23"/>
      <c r="C22" s="23"/>
      <c r="D22" s="23"/>
      <c r="E22" s="23"/>
      <c r="F22" s="23"/>
      <c r="G22" s="23"/>
      <c r="H22" s="23"/>
      <c r="I22" s="23"/>
      <c r="J22" s="23"/>
    </row>
    <row r="23" spans="2:10">
      <c r="B23" s="23"/>
      <c r="C23" s="23"/>
      <c r="D23" s="23"/>
      <c r="E23" s="23"/>
      <c r="F23" s="23"/>
      <c r="G23" s="23"/>
      <c r="H23" s="23"/>
      <c r="I23" s="23"/>
      <c r="J23" s="23"/>
    </row>
    <row r="24" spans="2:10">
      <c r="B24" s="1" t="s">
        <v>397</v>
      </c>
      <c r="C24" s="23"/>
      <c r="D24" s="23"/>
      <c r="E24" s="23"/>
      <c r="F24" s="23"/>
      <c r="G24" s="23"/>
      <c r="H24" s="23"/>
      <c r="I24" s="23"/>
      <c r="J24" s="23"/>
    </row>
    <row r="25" spans="2:10">
      <c r="B25" s="1" t="s">
        <v>394</v>
      </c>
      <c r="C25" s="23"/>
      <c r="D25" s="23"/>
      <c r="E25" s="23"/>
      <c r="F25" s="23"/>
      <c r="G25" s="23"/>
      <c r="H25" s="23"/>
      <c r="I25" s="23"/>
      <c r="J25" s="23"/>
    </row>
    <row r="26" spans="2:10">
      <c r="B26" s="1" t="s">
        <v>395</v>
      </c>
      <c r="C26" s="23"/>
      <c r="D26" s="23"/>
      <c r="E26" s="23"/>
      <c r="F26" s="23"/>
      <c r="G26" s="23"/>
      <c r="H26" s="23"/>
      <c r="I26" s="23"/>
      <c r="J26" s="23"/>
    </row>
    <row r="27" spans="2:10">
      <c r="B27" s="1" t="s">
        <v>396</v>
      </c>
      <c r="C27" s="23"/>
      <c r="D27" s="23"/>
      <c r="E27" s="23"/>
      <c r="F27" s="23"/>
      <c r="G27" s="23"/>
      <c r="H27" s="23"/>
      <c r="I27" s="23"/>
      <c r="J27" s="23"/>
    </row>
    <row r="28" spans="2:10">
      <c r="B28" s="1" t="s">
        <v>399</v>
      </c>
      <c r="C28" s="23"/>
      <c r="D28" s="23"/>
      <c r="E28" s="23"/>
      <c r="F28" s="23"/>
      <c r="G28" s="23"/>
      <c r="H28" s="23"/>
      <c r="I28" s="23"/>
      <c r="J28" s="23"/>
    </row>
    <row r="29" spans="2:10">
      <c r="B29" s="1" t="s">
        <v>400</v>
      </c>
      <c r="C29" s="23"/>
      <c r="D29" s="23"/>
      <c r="E29" s="23"/>
      <c r="F29" s="23"/>
      <c r="G29" s="23"/>
      <c r="H29" s="23"/>
      <c r="I29" s="23"/>
      <c r="J29" s="23"/>
    </row>
    <row r="30" spans="2:10">
      <c r="B30" s="23" t="s">
        <v>114</v>
      </c>
      <c r="C30" s="23"/>
      <c r="D30" s="23"/>
      <c r="E30" s="23"/>
      <c r="F30" s="23"/>
      <c r="G30" s="23"/>
      <c r="H30" s="23"/>
      <c r="I30" s="23"/>
      <c r="J30" s="23"/>
    </row>
    <row r="31" spans="2:10">
      <c r="B31" s="23"/>
      <c r="C31" s="23"/>
      <c r="D31" s="23"/>
      <c r="E31" s="23"/>
      <c r="F31" s="23"/>
      <c r="G31" s="23"/>
      <c r="H31" s="23"/>
      <c r="I31" s="23"/>
      <c r="J31" s="23"/>
    </row>
    <row r="32" spans="2:10">
      <c r="B32" s="23"/>
      <c r="C32" s="23"/>
      <c r="D32" s="23"/>
      <c r="E32" s="23"/>
      <c r="F32" s="23"/>
      <c r="G32" s="23"/>
      <c r="H32" s="23"/>
      <c r="I32" s="23"/>
      <c r="J32" s="23"/>
    </row>
    <row r="33" spans="2:10">
      <c r="B33" s="23"/>
      <c r="C33" s="23"/>
      <c r="D33" s="23"/>
      <c r="E33" s="23"/>
      <c r="F33" s="23"/>
      <c r="G33" s="23"/>
      <c r="H33" s="23"/>
      <c r="I33" s="23"/>
      <c r="J33" s="23"/>
    </row>
    <row r="34" spans="2:10" ht="15.75">
      <c r="B34" s="165" t="s">
        <v>142</v>
      </c>
      <c r="C34" s="23"/>
      <c r="D34" s="23"/>
      <c r="E34" s="23"/>
      <c r="F34" s="23"/>
      <c r="G34" s="23"/>
      <c r="H34" s="23"/>
      <c r="I34" s="23"/>
      <c r="J34" s="23"/>
    </row>
    <row r="35" spans="2:10">
      <c r="B35" s="164" t="s">
        <v>138</v>
      </c>
    </row>
  </sheetData>
  <phoneticPr fontId="4" type="noConversion"/>
  <pageMargins left="0.75" right="0.75" top="1" bottom="1" header="0.5" footer="0.5"/>
  <pageSetup scale="75"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2"/>
  </sheetPr>
  <dimension ref="A1:R89"/>
  <sheetViews>
    <sheetView showGridLines="0" showRowColHeaders="0" topLeftCell="A30" workbookViewId="0">
      <selection activeCell="F74" sqref="F74"/>
    </sheetView>
  </sheetViews>
  <sheetFormatPr defaultColWidth="8.85546875" defaultRowHeight="12"/>
  <cols>
    <col min="1" max="3" width="3" style="6" customWidth="1"/>
    <col min="4" max="4" width="22.85546875" customWidth="1"/>
    <col min="5" max="5" width="10.85546875" customWidth="1"/>
    <col min="6" max="6" width="20.85546875" customWidth="1"/>
    <col min="7" max="7" width="8.85546875" customWidth="1"/>
    <col min="8" max="8" width="10.85546875" customWidth="1"/>
    <col min="9" max="9" width="20.85546875" style="14" customWidth="1"/>
    <col min="10" max="10" width="8.85546875" customWidth="1"/>
    <col min="11" max="17" width="10.85546875" customWidth="1"/>
    <col min="18" max="18" width="15.85546875" customWidth="1"/>
  </cols>
  <sheetData>
    <row r="1" spans="1:18" ht="15.75">
      <c r="A1" s="5" t="str">
        <f>'1. Required Start-Up Funds'!A1</f>
        <v xml:space="preserve"> </v>
      </c>
    </row>
    <row r="2" spans="1:18" ht="15.75">
      <c r="A2" s="5" t="s">
        <v>231</v>
      </c>
    </row>
    <row r="3" spans="1:18" ht="12.75" customHeight="1">
      <c r="A3" s="134" t="s">
        <v>92</v>
      </c>
      <c r="B3" s="1"/>
      <c r="C3" s="1"/>
      <c r="D3" s="37"/>
      <c r="E3" s="37"/>
      <c r="F3" s="37"/>
      <c r="G3" s="37"/>
      <c r="H3" s="37"/>
      <c r="I3" s="82"/>
      <c r="J3" s="37"/>
      <c r="K3" s="37"/>
      <c r="L3" s="37"/>
      <c r="M3" s="37"/>
      <c r="N3" s="37"/>
      <c r="O3" s="37"/>
      <c r="P3" s="37"/>
      <c r="Q3" s="7"/>
      <c r="R3" s="7"/>
    </row>
    <row r="4" spans="1:18" ht="12.75" customHeight="1">
      <c r="A4" s="136" t="s">
        <v>93</v>
      </c>
      <c r="B4" s="1"/>
      <c r="C4" s="1"/>
      <c r="D4" s="37"/>
      <c r="E4" s="37"/>
      <c r="F4" s="37"/>
      <c r="G4" s="37"/>
      <c r="H4" s="37"/>
      <c r="I4" s="82"/>
      <c r="J4" s="37"/>
      <c r="K4" s="37"/>
      <c r="L4" s="37"/>
      <c r="M4" s="37"/>
      <c r="N4" s="37"/>
      <c r="O4" s="37"/>
      <c r="P4" s="37"/>
      <c r="Q4" s="7"/>
      <c r="R4" s="7"/>
    </row>
    <row r="5" spans="1:18" ht="12.75" customHeight="1">
      <c r="A5" s="1"/>
      <c r="B5" s="1"/>
      <c r="C5" s="1"/>
      <c r="D5" s="37"/>
      <c r="E5" s="37"/>
      <c r="F5" s="37"/>
      <c r="G5" s="37"/>
      <c r="H5" s="37"/>
      <c r="I5" s="82"/>
      <c r="J5" s="37"/>
      <c r="K5" s="37"/>
      <c r="L5" s="37"/>
      <c r="M5" s="37"/>
      <c r="N5" s="37"/>
      <c r="O5" s="37"/>
      <c r="P5" s="37"/>
      <c r="Q5" s="7"/>
      <c r="R5" s="7"/>
    </row>
    <row r="6" spans="1:18" ht="12.75" customHeight="1" thickBot="1">
      <c r="A6" s="1"/>
      <c r="B6" s="1"/>
      <c r="C6" s="1"/>
      <c r="D6" s="37"/>
      <c r="E6" s="83"/>
      <c r="F6" s="104">
        <v>39082</v>
      </c>
      <c r="G6" s="84" t="s">
        <v>216</v>
      </c>
      <c r="H6" s="83"/>
      <c r="I6" s="83"/>
      <c r="J6" s="84"/>
      <c r="K6" s="83"/>
      <c r="L6" s="83"/>
      <c r="M6" s="83"/>
      <c r="N6" s="83"/>
      <c r="O6" s="83"/>
      <c r="P6" s="83"/>
      <c r="Q6" s="15"/>
      <c r="R6" s="15"/>
    </row>
    <row r="7" spans="1:18" ht="12.75" customHeight="1" thickTop="1">
      <c r="A7" s="85"/>
      <c r="B7" s="85"/>
      <c r="C7" s="85"/>
      <c r="D7" s="82"/>
      <c r="E7" s="82"/>
      <c r="F7" s="82"/>
      <c r="G7" s="82"/>
      <c r="H7" s="82"/>
      <c r="I7" s="82"/>
      <c r="J7" s="82"/>
      <c r="K7" s="82"/>
      <c r="L7" s="82"/>
      <c r="M7" s="82"/>
      <c r="N7" s="82"/>
      <c r="O7" s="82"/>
      <c r="P7" s="82"/>
      <c r="Q7" s="17"/>
      <c r="R7" s="17"/>
    </row>
    <row r="8" spans="1:18" ht="12.75" customHeight="1">
      <c r="A8" s="85" t="s">
        <v>195</v>
      </c>
      <c r="B8" s="85"/>
      <c r="C8" s="85"/>
      <c r="D8" s="82"/>
      <c r="E8" s="82"/>
      <c r="F8" s="86"/>
      <c r="G8" s="86"/>
      <c r="H8" s="86"/>
      <c r="I8" s="86"/>
      <c r="J8" s="82"/>
      <c r="K8" s="82"/>
      <c r="L8" s="82"/>
      <c r="M8" s="82"/>
      <c r="N8" s="82"/>
      <c r="O8" s="82"/>
      <c r="P8" s="82"/>
      <c r="Q8" s="17"/>
      <c r="R8" s="17"/>
    </row>
    <row r="9" spans="1:18" ht="12.75" customHeight="1">
      <c r="A9" s="85"/>
      <c r="B9" s="85" t="s">
        <v>196</v>
      </c>
      <c r="C9" s="85"/>
      <c r="D9" s="82"/>
      <c r="E9" s="82"/>
      <c r="F9" s="86"/>
      <c r="G9" s="86"/>
      <c r="H9" s="86"/>
      <c r="I9" s="86"/>
      <c r="J9" s="82"/>
      <c r="K9" s="82"/>
      <c r="L9" s="82"/>
      <c r="M9" s="82"/>
      <c r="N9" s="82"/>
      <c r="O9" s="82"/>
      <c r="P9" s="82"/>
      <c r="Q9" s="17"/>
      <c r="R9" s="17"/>
    </row>
    <row r="10" spans="1:18" ht="12.75" customHeight="1">
      <c r="A10" s="85"/>
      <c r="B10" s="85"/>
      <c r="C10" s="85" t="s">
        <v>197</v>
      </c>
      <c r="D10" s="82"/>
      <c r="E10" s="82"/>
      <c r="F10" s="105">
        <v>0</v>
      </c>
      <c r="G10" s="86"/>
      <c r="H10" s="86"/>
      <c r="I10" s="86"/>
      <c r="J10" s="82"/>
      <c r="K10" s="82"/>
      <c r="L10" s="82"/>
      <c r="M10" s="82"/>
      <c r="N10" s="82"/>
      <c r="O10" s="82"/>
      <c r="P10" s="82"/>
      <c r="Q10" s="17"/>
      <c r="R10" s="17"/>
    </row>
    <row r="11" spans="1:18" ht="12.75" customHeight="1">
      <c r="A11" s="85"/>
      <c r="B11" s="85"/>
      <c r="C11" s="85" t="s">
        <v>179</v>
      </c>
      <c r="D11" s="82"/>
      <c r="E11" s="82"/>
      <c r="F11" s="105">
        <v>0</v>
      </c>
      <c r="G11" s="86"/>
      <c r="H11" s="86"/>
      <c r="I11" s="86"/>
      <c r="J11" s="82"/>
      <c r="K11" s="82"/>
      <c r="L11" s="82"/>
      <c r="M11" s="82"/>
      <c r="N11" s="82"/>
      <c r="O11" s="82"/>
      <c r="P11" s="82"/>
      <c r="Q11" s="17"/>
      <c r="R11" s="17"/>
    </row>
    <row r="12" spans="1:18" ht="12.75" customHeight="1">
      <c r="A12" s="85"/>
      <c r="B12" s="85"/>
      <c r="C12" s="85" t="s">
        <v>199</v>
      </c>
      <c r="D12" s="82"/>
      <c r="E12" s="82"/>
      <c r="F12" s="105">
        <v>0</v>
      </c>
      <c r="G12" s="86"/>
      <c r="H12" s="86"/>
      <c r="I12" s="86"/>
      <c r="J12" s="82"/>
      <c r="K12" s="82"/>
      <c r="L12" s="82"/>
      <c r="M12" s="82"/>
      <c r="N12" s="82"/>
      <c r="O12" s="82"/>
      <c r="P12" s="82"/>
      <c r="Q12" s="17"/>
      <c r="R12" s="17"/>
    </row>
    <row r="13" spans="1:18" ht="12.75" customHeight="1">
      <c r="A13" s="85"/>
      <c r="B13" s="85"/>
      <c r="C13" s="85" t="s">
        <v>200</v>
      </c>
      <c r="D13" s="82"/>
      <c r="E13" s="82"/>
      <c r="F13" s="105">
        <v>0</v>
      </c>
      <c r="G13" s="86"/>
      <c r="H13" s="86"/>
      <c r="I13" s="86"/>
      <c r="J13" s="82"/>
      <c r="K13" s="82"/>
      <c r="L13" s="82"/>
      <c r="M13" s="82"/>
      <c r="N13" s="82"/>
      <c r="O13" s="82"/>
      <c r="P13" s="82"/>
      <c r="Q13" s="17"/>
      <c r="R13" s="17"/>
    </row>
    <row r="14" spans="1:18" ht="12.75" customHeight="1" thickBot="1">
      <c r="A14" s="85"/>
      <c r="B14" s="85"/>
      <c r="C14" s="85" t="s">
        <v>201</v>
      </c>
      <c r="D14" s="82"/>
      <c r="E14" s="82"/>
      <c r="F14" s="106">
        <v>0</v>
      </c>
      <c r="G14" s="86"/>
      <c r="H14" s="86"/>
      <c r="I14" s="86"/>
      <c r="J14" s="82"/>
      <c r="K14" s="82"/>
      <c r="L14" s="82"/>
      <c r="M14" s="82"/>
      <c r="N14" s="82"/>
      <c r="O14" s="82"/>
      <c r="P14" s="82"/>
      <c r="Q14" s="17"/>
      <c r="R14" s="17"/>
    </row>
    <row r="15" spans="1:18" ht="12.75" customHeight="1">
      <c r="A15" s="85"/>
      <c r="B15" s="85" t="s">
        <v>202</v>
      </c>
      <c r="C15" s="85"/>
      <c r="D15" s="82"/>
      <c r="E15" s="86"/>
      <c r="F15" s="86">
        <f>SUM(F10:F14)</f>
        <v>0</v>
      </c>
      <c r="G15" s="86"/>
      <c r="H15" s="86"/>
      <c r="I15" s="86"/>
      <c r="J15" s="86"/>
      <c r="K15" s="86"/>
      <c r="L15" s="86"/>
      <c r="M15" s="86"/>
      <c r="N15" s="86"/>
      <c r="O15" s="86"/>
      <c r="P15" s="86"/>
      <c r="Q15" s="18"/>
      <c r="R15" s="18"/>
    </row>
    <row r="16" spans="1:18" ht="12.75" customHeight="1">
      <c r="A16" s="85"/>
      <c r="B16" s="1"/>
      <c r="C16" s="1"/>
      <c r="D16" s="82"/>
      <c r="E16" s="86"/>
      <c r="F16" s="86"/>
      <c r="G16" s="86"/>
      <c r="H16" s="86"/>
      <c r="I16" s="86"/>
      <c r="J16" s="86"/>
      <c r="K16" s="86"/>
      <c r="L16" s="86"/>
      <c r="M16" s="86"/>
      <c r="N16" s="86"/>
      <c r="O16" s="86"/>
      <c r="P16" s="86"/>
      <c r="Q16" s="18"/>
      <c r="R16" s="18"/>
    </row>
    <row r="17" spans="1:18" ht="12.75" customHeight="1">
      <c r="A17" s="85"/>
      <c r="B17" s="1" t="s">
        <v>251</v>
      </c>
      <c r="C17" s="85"/>
      <c r="D17" s="82"/>
      <c r="E17" s="87"/>
      <c r="F17" s="86"/>
      <c r="G17" s="86"/>
      <c r="H17" s="86"/>
      <c r="I17" s="86"/>
      <c r="J17" s="87"/>
      <c r="K17" s="87"/>
      <c r="L17" s="87"/>
      <c r="M17" s="87"/>
      <c r="N17" s="87"/>
      <c r="O17" s="87"/>
      <c r="P17" s="87"/>
      <c r="Q17" s="19"/>
      <c r="R17" s="19"/>
    </row>
    <row r="18" spans="1:18" ht="12.75" customHeight="1">
      <c r="A18" s="85"/>
      <c r="B18" s="85"/>
      <c r="C18" s="85" t="str">
        <f>'1. Required Start-Up Funds'!C8</f>
        <v>Real Estate-Land</v>
      </c>
      <c r="D18" s="82"/>
      <c r="E18" s="87"/>
      <c r="F18" s="105">
        <v>0</v>
      </c>
      <c r="G18" s="86"/>
      <c r="H18" s="86"/>
      <c r="I18" s="86"/>
      <c r="J18" s="87"/>
      <c r="K18" s="87"/>
      <c r="L18" s="87"/>
      <c r="M18" s="87"/>
      <c r="N18" s="87"/>
      <c r="O18" s="87"/>
      <c r="P18" s="87"/>
      <c r="Q18" s="19"/>
      <c r="R18" s="19"/>
    </row>
    <row r="19" spans="1:18" ht="12.75" customHeight="1">
      <c r="A19" s="85"/>
      <c r="B19" s="85"/>
      <c r="C19" s="85" t="str">
        <f>'1. Required Start-Up Funds'!C9</f>
        <v>Buildings</v>
      </c>
      <c r="D19" s="82"/>
      <c r="E19" s="86"/>
      <c r="F19" s="105">
        <v>0</v>
      </c>
      <c r="G19" s="86"/>
      <c r="H19" s="86"/>
      <c r="I19" s="86"/>
      <c r="J19" s="86"/>
      <c r="K19" s="86"/>
      <c r="L19" s="86"/>
      <c r="M19" s="86"/>
      <c r="N19" s="86"/>
      <c r="O19" s="86"/>
      <c r="P19" s="86"/>
      <c r="Q19" s="18"/>
      <c r="R19" s="18"/>
    </row>
    <row r="20" spans="1:18" ht="12.75" customHeight="1">
      <c r="A20" s="85"/>
      <c r="B20" s="85"/>
      <c r="C20" s="85" t="str">
        <f>'1. Required Start-Up Funds'!C10</f>
        <v>Leasehold Improvements</v>
      </c>
      <c r="D20" s="82"/>
      <c r="E20" s="86"/>
      <c r="F20" s="105">
        <v>0</v>
      </c>
      <c r="G20" s="86"/>
      <c r="H20" s="86"/>
      <c r="I20" s="86"/>
      <c r="J20" s="86"/>
      <c r="K20" s="86"/>
      <c r="L20" s="86"/>
      <c r="M20" s="86"/>
      <c r="N20" s="86"/>
      <c r="O20" s="86"/>
      <c r="P20" s="86"/>
      <c r="Q20" s="18"/>
      <c r="R20" s="18"/>
    </row>
    <row r="21" spans="1:18" ht="12.75" customHeight="1">
      <c r="A21" s="85"/>
      <c r="B21" s="85"/>
      <c r="C21" s="85" t="str">
        <f>'1. Required Start-Up Funds'!C11</f>
        <v>Equipment</v>
      </c>
      <c r="D21" s="82"/>
      <c r="E21" s="87"/>
      <c r="F21" s="105">
        <v>0</v>
      </c>
      <c r="G21" s="86"/>
      <c r="H21" s="86"/>
      <c r="I21" s="86"/>
      <c r="J21" s="87"/>
      <c r="K21" s="87"/>
      <c r="L21" s="87"/>
      <c r="M21" s="87"/>
      <c r="N21" s="87"/>
      <c r="O21" s="87"/>
      <c r="P21" s="87"/>
      <c r="Q21" s="19"/>
      <c r="R21" s="19"/>
    </row>
    <row r="22" spans="1:18" ht="12.75" customHeight="1">
      <c r="A22" s="85"/>
      <c r="B22" s="85"/>
      <c r="C22" s="85" t="str">
        <f>'1. Required Start-Up Funds'!C12</f>
        <v>Furniture and Fixtures</v>
      </c>
      <c r="D22" s="82"/>
      <c r="E22" s="87"/>
      <c r="F22" s="105">
        <v>0</v>
      </c>
      <c r="G22" s="86"/>
      <c r="H22" s="86"/>
      <c r="I22" s="86"/>
      <c r="J22" s="87"/>
      <c r="K22" s="87"/>
      <c r="L22" s="87"/>
      <c r="M22" s="87"/>
      <c r="N22" s="87"/>
      <c r="O22" s="87"/>
      <c r="P22" s="87"/>
      <c r="Q22" s="19"/>
      <c r="R22" s="19"/>
    </row>
    <row r="23" spans="1:18" ht="12.75" customHeight="1">
      <c r="A23" s="85"/>
      <c r="B23" s="85"/>
      <c r="C23" s="85" t="str">
        <f>'1. Required Start-Up Funds'!C13</f>
        <v>Vehicles</v>
      </c>
      <c r="D23" s="82"/>
      <c r="E23" s="87"/>
      <c r="F23" s="105">
        <v>0</v>
      </c>
      <c r="G23" s="86"/>
      <c r="H23" s="86"/>
      <c r="I23" s="86"/>
      <c r="J23" s="87"/>
      <c r="K23" s="87"/>
      <c r="L23" s="87"/>
      <c r="M23" s="87"/>
      <c r="N23" s="87"/>
      <c r="O23" s="87"/>
      <c r="P23" s="87"/>
      <c r="Q23" s="19"/>
      <c r="R23" s="19"/>
    </row>
    <row r="24" spans="1:18" ht="12.75" customHeight="1" thickBot="1">
      <c r="A24" s="85"/>
      <c r="B24" s="85"/>
      <c r="C24" s="85" t="str">
        <f>'1. Required Start-Up Funds'!C14</f>
        <v>Other Fixed Assets</v>
      </c>
      <c r="D24" s="82"/>
      <c r="E24" s="86"/>
      <c r="F24" s="106">
        <v>0</v>
      </c>
      <c r="G24" s="86"/>
      <c r="H24" s="86"/>
      <c r="I24" s="86"/>
      <c r="J24" s="86"/>
      <c r="K24" s="86"/>
      <c r="L24" s="86"/>
      <c r="M24" s="86"/>
      <c r="N24" s="86"/>
      <c r="O24" s="86"/>
      <c r="P24" s="86"/>
      <c r="Q24" s="18"/>
      <c r="R24" s="18"/>
    </row>
    <row r="25" spans="1:18" ht="12.75" customHeight="1">
      <c r="A25" s="85"/>
      <c r="B25" s="85" t="s">
        <v>258</v>
      </c>
      <c r="C25" s="85"/>
      <c r="D25" s="82"/>
      <c r="E25" s="86"/>
      <c r="F25" s="86">
        <f>SUM(F18:F24)</f>
        <v>0</v>
      </c>
      <c r="G25" s="86"/>
      <c r="H25" s="86"/>
      <c r="I25" s="86"/>
      <c r="J25" s="86"/>
      <c r="K25" s="86"/>
      <c r="L25" s="86"/>
      <c r="M25" s="86"/>
      <c r="N25" s="86"/>
      <c r="O25" s="86"/>
      <c r="P25" s="86"/>
      <c r="Q25" s="18"/>
      <c r="R25" s="18"/>
    </row>
    <row r="26" spans="1:18" ht="12.75" customHeight="1">
      <c r="A26" s="85"/>
      <c r="B26" s="85"/>
      <c r="C26" s="85"/>
      <c r="D26" s="82"/>
      <c r="E26" s="87"/>
      <c r="F26" s="86"/>
      <c r="G26" s="86"/>
      <c r="H26" s="86"/>
      <c r="I26" s="86"/>
      <c r="J26" s="87"/>
      <c r="K26" s="87"/>
      <c r="L26" s="87"/>
      <c r="M26" s="87"/>
      <c r="N26" s="87"/>
      <c r="O26" s="87"/>
      <c r="P26" s="87"/>
      <c r="Q26" s="19"/>
      <c r="R26" s="19"/>
    </row>
    <row r="27" spans="1:18" ht="12.75" customHeight="1">
      <c r="A27" s="1"/>
      <c r="B27" s="1" t="s">
        <v>203</v>
      </c>
      <c r="C27" s="1"/>
      <c r="D27" s="37"/>
      <c r="E27" s="82"/>
      <c r="F27" s="105">
        <v>0</v>
      </c>
      <c r="G27" s="86"/>
      <c r="H27" s="86"/>
      <c r="I27" s="86"/>
      <c r="J27" s="82"/>
      <c r="K27" s="82"/>
      <c r="L27" s="82"/>
      <c r="M27" s="82"/>
      <c r="N27" s="82"/>
      <c r="O27" s="82"/>
      <c r="P27" s="82"/>
      <c r="Q27" s="17"/>
      <c r="R27" s="17"/>
    </row>
    <row r="28" spans="1:18" ht="12.75" customHeight="1" thickBot="1">
      <c r="A28" s="1"/>
      <c r="B28" s="1"/>
      <c r="C28" s="1"/>
      <c r="D28" s="37"/>
      <c r="E28" s="82"/>
      <c r="F28" s="49"/>
      <c r="G28" s="86"/>
      <c r="H28" s="86"/>
      <c r="I28" s="86"/>
      <c r="J28" s="82"/>
      <c r="K28" s="82"/>
      <c r="L28" s="82"/>
      <c r="M28" s="82"/>
      <c r="N28" s="82"/>
      <c r="O28" s="82"/>
      <c r="P28" s="82"/>
      <c r="Q28" s="17"/>
      <c r="R28" s="17"/>
    </row>
    <row r="29" spans="1:18" ht="15.75" customHeight="1" thickBot="1">
      <c r="A29" s="1" t="s">
        <v>204</v>
      </c>
      <c r="B29" s="1"/>
      <c r="C29" s="1"/>
      <c r="D29" s="37"/>
      <c r="E29" s="82"/>
      <c r="F29" s="57">
        <f>INT(F15+F25-F27)</f>
        <v>0</v>
      </c>
      <c r="G29" s="86"/>
      <c r="H29" s="86"/>
      <c r="I29" s="86"/>
      <c r="J29" s="82"/>
      <c r="K29" s="82"/>
      <c r="L29" s="82"/>
      <c r="M29" s="82"/>
      <c r="N29" s="82"/>
      <c r="O29" s="82"/>
      <c r="P29" s="82"/>
      <c r="Q29" s="17"/>
      <c r="R29" s="17"/>
    </row>
    <row r="30" spans="1:18" ht="12.75" customHeight="1" thickTop="1">
      <c r="A30" s="1"/>
      <c r="B30" s="1"/>
      <c r="C30" s="1"/>
      <c r="D30" s="37"/>
      <c r="E30" s="82"/>
      <c r="F30" s="86"/>
      <c r="G30" s="86"/>
      <c r="H30" s="86"/>
      <c r="I30" s="86"/>
      <c r="J30" s="82"/>
      <c r="K30" s="82"/>
      <c r="L30" s="82"/>
      <c r="M30" s="82"/>
      <c r="N30" s="82"/>
      <c r="O30" s="82"/>
      <c r="P30" s="82"/>
      <c r="Q30" s="17"/>
      <c r="R30" s="17"/>
    </row>
    <row r="31" spans="1:18" ht="12.75" customHeight="1">
      <c r="A31" s="1"/>
      <c r="B31" s="1"/>
      <c r="C31" s="1"/>
      <c r="D31" s="37"/>
      <c r="E31" s="82"/>
      <c r="F31" s="86"/>
      <c r="G31" s="86"/>
      <c r="H31" s="86"/>
      <c r="I31" s="86"/>
      <c r="J31" s="82"/>
      <c r="K31" s="82"/>
      <c r="L31" s="82"/>
      <c r="M31" s="82"/>
      <c r="N31" s="82"/>
      <c r="O31" s="82"/>
      <c r="P31" s="82"/>
      <c r="Q31" s="17"/>
      <c r="R31" s="17"/>
    </row>
    <row r="32" spans="1:18" ht="12.75" customHeight="1">
      <c r="A32" s="1"/>
      <c r="B32" s="1"/>
      <c r="C32" s="1"/>
      <c r="D32" s="37"/>
      <c r="E32" s="82"/>
      <c r="F32" s="86"/>
      <c r="G32" s="86"/>
      <c r="H32" s="86"/>
      <c r="I32" s="86"/>
      <c r="J32" s="82"/>
      <c r="K32" s="82"/>
      <c r="L32" s="82"/>
      <c r="M32" s="82"/>
      <c r="N32" s="82"/>
      <c r="O32" s="82"/>
      <c r="P32" s="82"/>
      <c r="Q32" s="17"/>
      <c r="R32" s="17"/>
    </row>
    <row r="33" spans="1:18" ht="12.75" customHeight="1">
      <c r="A33" s="1" t="s">
        <v>205</v>
      </c>
      <c r="B33" s="1"/>
      <c r="C33" s="1"/>
      <c r="D33" s="37"/>
      <c r="E33" s="82"/>
      <c r="F33" s="86"/>
      <c r="G33" s="86"/>
      <c r="H33" s="86"/>
      <c r="I33" s="86"/>
      <c r="J33" s="82"/>
      <c r="K33" s="82"/>
      <c r="L33" s="82"/>
      <c r="M33" s="82"/>
      <c r="N33" s="82"/>
      <c r="O33" s="82"/>
      <c r="P33" s="82"/>
      <c r="Q33" s="17"/>
      <c r="R33" s="17"/>
    </row>
    <row r="34" spans="1:18" ht="12.75" customHeight="1">
      <c r="A34" s="1"/>
      <c r="B34" s="1" t="s">
        <v>209</v>
      </c>
      <c r="C34" s="1"/>
      <c r="D34" s="37"/>
      <c r="E34" s="82"/>
      <c r="F34" s="86"/>
      <c r="G34" s="86"/>
      <c r="H34" s="86"/>
      <c r="I34" s="86"/>
      <c r="J34" s="82"/>
      <c r="K34" s="82"/>
      <c r="L34" s="82"/>
      <c r="M34" s="82"/>
      <c r="N34" s="82"/>
      <c r="O34" s="82"/>
      <c r="P34" s="82"/>
      <c r="Q34" s="17"/>
      <c r="R34" s="17"/>
    </row>
    <row r="35" spans="1:18" ht="12.75" customHeight="1">
      <c r="A35" s="1"/>
      <c r="B35" s="1"/>
      <c r="C35" s="1" t="s">
        <v>206</v>
      </c>
      <c r="D35" s="37"/>
      <c r="E35" s="86"/>
      <c r="F35" s="105">
        <v>0</v>
      </c>
      <c r="G35" s="86"/>
      <c r="H35" s="86"/>
      <c r="I35" s="86"/>
      <c r="J35" s="86"/>
      <c r="K35" s="86"/>
      <c r="L35" s="86"/>
      <c r="M35" s="86"/>
      <c r="N35" s="86"/>
      <c r="O35" s="86"/>
      <c r="P35" s="86"/>
      <c r="Q35" s="18"/>
      <c r="R35" s="18"/>
    </row>
    <row r="36" spans="1:18" ht="12.75" customHeight="1">
      <c r="A36" s="1"/>
      <c r="B36" s="1"/>
      <c r="C36" s="1" t="s">
        <v>207</v>
      </c>
      <c r="D36" s="37"/>
      <c r="E36" s="87"/>
      <c r="F36" s="105">
        <v>0</v>
      </c>
      <c r="G36" s="86"/>
      <c r="H36" s="86"/>
      <c r="I36" s="86"/>
      <c r="J36" s="87"/>
      <c r="K36" s="87"/>
      <c r="L36" s="87"/>
      <c r="M36" s="87"/>
      <c r="N36" s="87"/>
      <c r="O36" s="87"/>
      <c r="P36" s="87"/>
      <c r="Q36" s="19"/>
      <c r="R36" s="17"/>
    </row>
    <row r="37" spans="1:18" ht="12.75" customHeight="1">
      <c r="A37" s="1"/>
      <c r="B37" s="1"/>
      <c r="C37" s="1" t="s">
        <v>208</v>
      </c>
      <c r="D37" s="37"/>
      <c r="E37" s="82"/>
      <c r="F37" s="105">
        <v>0</v>
      </c>
      <c r="G37" s="86"/>
      <c r="H37" s="86"/>
      <c r="I37" s="86"/>
      <c r="J37" s="82"/>
      <c r="K37" s="82"/>
      <c r="L37" s="82"/>
      <c r="M37" s="82"/>
      <c r="N37" s="82"/>
      <c r="O37" s="82"/>
      <c r="P37" s="82"/>
      <c r="Q37" s="17"/>
      <c r="R37" s="17"/>
    </row>
    <row r="38" spans="1:18" ht="12.75" customHeight="1" thickBot="1">
      <c r="A38" s="1"/>
      <c r="B38" s="1"/>
      <c r="C38" s="1" t="s">
        <v>194</v>
      </c>
      <c r="D38" s="37"/>
      <c r="E38" s="82"/>
      <c r="F38" s="106">
        <v>0</v>
      </c>
      <c r="G38" s="86"/>
      <c r="H38" s="86"/>
      <c r="I38" s="86"/>
      <c r="J38" s="82"/>
      <c r="K38" s="82"/>
      <c r="L38" s="82"/>
      <c r="M38" s="82"/>
      <c r="N38" s="82"/>
      <c r="O38" s="82"/>
      <c r="P38" s="82"/>
      <c r="Q38" s="17"/>
      <c r="R38" s="17"/>
    </row>
    <row r="39" spans="1:18" ht="12.75" customHeight="1">
      <c r="A39" s="1"/>
      <c r="B39" s="1" t="s">
        <v>210</v>
      </c>
      <c r="C39" s="1"/>
      <c r="D39" s="37"/>
      <c r="E39" s="82"/>
      <c r="F39" s="86">
        <f>SUM(F35:F38)</f>
        <v>0</v>
      </c>
      <c r="G39" s="86"/>
      <c r="H39" s="86"/>
      <c r="I39" s="86"/>
      <c r="J39" s="82"/>
      <c r="K39" s="82"/>
      <c r="L39" s="82"/>
      <c r="M39" s="82"/>
      <c r="N39" s="82"/>
      <c r="O39" s="82"/>
      <c r="P39" s="82"/>
      <c r="Q39" s="17"/>
      <c r="R39" s="17"/>
    </row>
    <row r="40" spans="1:18" ht="12.75" customHeight="1">
      <c r="A40" s="1"/>
      <c r="B40" s="1"/>
      <c r="C40" s="1"/>
      <c r="D40" s="37"/>
      <c r="E40" s="37"/>
      <c r="F40" s="45"/>
      <c r="G40" s="45"/>
      <c r="H40" s="45"/>
      <c r="I40" s="86"/>
      <c r="J40" s="37"/>
      <c r="K40" s="37"/>
      <c r="L40" s="37"/>
      <c r="M40" s="37"/>
      <c r="N40" s="37"/>
      <c r="O40" s="37"/>
      <c r="P40" s="37"/>
      <c r="Q40" s="7"/>
      <c r="R40" s="7"/>
    </row>
    <row r="41" spans="1:18" ht="12.75" customHeight="1">
      <c r="A41" s="1"/>
      <c r="B41" s="1" t="s">
        <v>211</v>
      </c>
      <c r="C41" s="1"/>
      <c r="D41" s="37"/>
      <c r="E41" s="37"/>
      <c r="F41" s="45"/>
      <c r="G41" s="45"/>
      <c r="H41" s="45"/>
      <c r="I41" s="86"/>
      <c r="J41" s="37"/>
      <c r="K41" s="37"/>
      <c r="L41" s="37"/>
      <c r="M41" s="37"/>
      <c r="N41" s="37"/>
      <c r="O41" s="37"/>
      <c r="P41" s="37"/>
      <c r="Q41" s="7"/>
      <c r="R41" s="7"/>
    </row>
    <row r="42" spans="1:18" ht="12.75" customHeight="1">
      <c r="A42" s="1"/>
      <c r="B42" s="1"/>
      <c r="C42" s="1" t="s">
        <v>212</v>
      </c>
      <c r="D42" s="37"/>
      <c r="E42" s="37"/>
      <c r="F42" s="107">
        <v>0</v>
      </c>
      <c r="G42" s="45"/>
      <c r="H42" s="45"/>
      <c r="I42" s="86"/>
      <c r="J42" s="37"/>
      <c r="K42" s="37"/>
      <c r="L42" s="37"/>
      <c r="M42" s="37"/>
      <c r="N42" s="37"/>
      <c r="O42" s="37"/>
      <c r="P42" s="37"/>
      <c r="Q42" s="7"/>
      <c r="R42" s="7"/>
    </row>
    <row r="43" spans="1:18" ht="12.75" customHeight="1">
      <c r="A43" s="1"/>
      <c r="B43" s="1"/>
      <c r="C43" s="1" t="s">
        <v>213</v>
      </c>
      <c r="D43" s="37"/>
      <c r="E43" s="37"/>
      <c r="F43" s="107">
        <v>0</v>
      </c>
      <c r="G43" s="45"/>
      <c r="H43" s="45"/>
      <c r="I43" s="86"/>
      <c r="J43" s="37"/>
      <c r="K43" s="37"/>
      <c r="L43" s="37"/>
      <c r="M43" s="37"/>
      <c r="N43" s="37"/>
      <c r="O43" s="37"/>
      <c r="P43" s="37"/>
      <c r="Q43" s="7"/>
      <c r="R43" s="7"/>
    </row>
    <row r="44" spans="1:18" ht="12.75" customHeight="1" thickBot="1">
      <c r="A44" s="1"/>
      <c r="B44" s="1"/>
      <c r="C44" s="1" t="s">
        <v>214</v>
      </c>
      <c r="D44" s="37"/>
      <c r="E44" s="37"/>
      <c r="F44" s="106">
        <v>0</v>
      </c>
      <c r="G44" s="86"/>
      <c r="H44" s="45"/>
      <c r="I44" s="86"/>
      <c r="J44" s="37"/>
      <c r="K44" s="37"/>
      <c r="L44" s="37"/>
      <c r="M44" s="37"/>
      <c r="N44" s="37"/>
      <c r="O44" s="37"/>
      <c r="P44" s="37"/>
      <c r="Q44" s="7"/>
      <c r="R44" s="7"/>
    </row>
    <row r="45" spans="1:18" ht="12.75" customHeight="1">
      <c r="A45" s="1"/>
      <c r="B45" s="1" t="s">
        <v>215</v>
      </c>
      <c r="C45" s="1"/>
      <c r="D45" s="37"/>
      <c r="E45" s="37"/>
      <c r="F45" s="45">
        <f>F42+F43-F44</f>
        <v>0</v>
      </c>
      <c r="G45" s="45"/>
      <c r="H45" s="45"/>
      <c r="I45" s="86"/>
      <c r="J45" s="37"/>
      <c r="K45" s="37"/>
      <c r="L45" s="37"/>
      <c r="M45" s="37"/>
      <c r="N45" s="37"/>
      <c r="O45" s="37"/>
      <c r="P45" s="37"/>
    </row>
    <row r="46" spans="1:18" ht="12.75" customHeight="1" thickBot="1">
      <c r="A46" s="1"/>
      <c r="B46" s="1"/>
      <c r="C46" s="1"/>
      <c r="D46" s="37"/>
      <c r="E46" s="37"/>
      <c r="F46" s="49"/>
      <c r="G46" s="86"/>
      <c r="H46" s="45"/>
      <c r="I46" s="86"/>
      <c r="J46" s="37"/>
      <c r="K46" s="37"/>
      <c r="L46" s="37"/>
      <c r="M46" s="37"/>
      <c r="N46" s="37"/>
      <c r="O46" s="37"/>
      <c r="P46" s="37"/>
    </row>
    <row r="47" spans="1:18" ht="15.75" customHeight="1" thickBot="1">
      <c r="A47" s="1" t="s">
        <v>235</v>
      </c>
      <c r="B47" s="1"/>
      <c r="C47" s="1"/>
      <c r="D47" s="37"/>
      <c r="E47" s="37"/>
      <c r="F47" s="57">
        <f>INT(F39+F45)</f>
        <v>0</v>
      </c>
      <c r="G47" s="86"/>
      <c r="H47" s="45"/>
      <c r="I47" s="86"/>
      <c r="J47" s="37"/>
      <c r="K47" s="37"/>
      <c r="L47" s="37"/>
      <c r="M47" s="37"/>
      <c r="N47" s="37"/>
      <c r="O47" s="37"/>
      <c r="P47" s="37"/>
    </row>
    <row r="48" spans="1:18" ht="12.75" customHeight="1" thickTop="1">
      <c r="A48" s="1"/>
      <c r="B48" s="1"/>
      <c r="C48" s="1"/>
      <c r="D48" s="37"/>
      <c r="E48" s="37"/>
      <c r="F48" s="37"/>
      <c r="G48" s="37"/>
      <c r="H48" s="37"/>
      <c r="I48" s="82"/>
      <c r="J48" s="37"/>
      <c r="K48" s="37"/>
      <c r="L48" s="37"/>
      <c r="M48" s="37"/>
      <c r="N48" s="37"/>
      <c r="O48" s="37"/>
      <c r="P48" s="37"/>
    </row>
    <row r="49" spans="1:18" ht="12.75" customHeight="1">
      <c r="A49" s="1"/>
      <c r="B49" s="1"/>
      <c r="C49" s="1"/>
      <c r="D49" s="37"/>
      <c r="E49" s="37"/>
      <c r="F49" s="37"/>
      <c r="G49" s="37"/>
      <c r="H49" s="37"/>
      <c r="I49" s="82"/>
      <c r="J49" s="37"/>
      <c r="K49" s="37"/>
      <c r="L49" s="37"/>
      <c r="M49" s="37"/>
      <c r="N49" s="37"/>
      <c r="O49" s="37"/>
      <c r="P49" s="37"/>
    </row>
    <row r="50" spans="1:18" ht="12.75" customHeight="1">
      <c r="A50" s="1"/>
      <c r="B50" s="1"/>
      <c r="C50" s="1"/>
      <c r="D50" s="37"/>
      <c r="E50" s="37"/>
      <c r="F50" s="88" t="str">
        <f>IF(F29=F47,"Statement Balances","Does Not Balance")</f>
        <v>Statement Balances</v>
      </c>
      <c r="G50" s="37"/>
      <c r="H50" s="37"/>
      <c r="I50" s="82"/>
      <c r="J50" s="37"/>
      <c r="K50" s="37"/>
      <c r="L50" s="37"/>
      <c r="M50" s="37"/>
      <c r="N50" s="37"/>
      <c r="O50" s="37"/>
      <c r="P50" s="37"/>
    </row>
    <row r="51" spans="1:18" ht="12.75" customHeight="1">
      <c r="A51" s="1"/>
      <c r="B51" s="1"/>
      <c r="C51" s="1"/>
      <c r="D51" s="37"/>
      <c r="E51" s="37"/>
      <c r="F51" s="37"/>
      <c r="G51" s="37"/>
      <c r="H51" s="37"/>
      <c r="I51" s="82"/>
      <c r="J51" s="37"/>
      <c r="K51" s="37"/>
      <c r="L51" s="37"/>
      <c r="M51" s="37"/>
      <c r="N51" s="37"/>
      <c r="O51" s="37"/>
      <c r="P51" s="37"/>
    </row>
    <row r="52" spans="1:18" ht="12.75" customHeight="1">
      <c r="A52" s="1"/>
      <c r="B52" s="1"/>
      <c r="C52" s="1"/>
      <c r="D52" s="37"/>
      <c r="E52" s="37"/>
      <c r="F52" s="37"/>
      <c r="G52" s="37"/>
      <c r="H52" s="37"/>
      <c r="I52" s="82"/>
      <c r="J52" s="37"/>
      <c r="K52" s="37"/>
      <c r="L52" s="37"/>
      <c r="M52" s="37"/>
      <c r="N52" s="37"/>
      <c r="O52" s="37"/>
      <c r="P52" s="37"/>
    </row>
    <row r="53" spans="1:18" ht="12.75" customHeight="1"/>
    <row r="54" spans="1:18" ht="12.75" customHeight="1"/>
    <row r="55" spans="1:18" ht="12.75" customHeight="1">
      <c r="E55" s="14"/>
      <c r="F55" s="14"/>
      <c r="G55" s="14"/>
      <c r="H55" s="14"/>
      <c r="J55" s="14"/>
      <c r="K55" s="14"/>
      <c r="L55" s="14"/>
      <c r="M55" s="14"/>
      <c r="N55" s="14"/>
      <c r="O55" s="14"/>
      <c r="P55" s="14"/>
      <c r="Q55" s="14"/>
      <c r="R55" s="14"/>
    </row>
    <row r="56" spans="1:18" ht="12.75" customHeight="1">
      <c r="E56" s="14"/>
      <c r="F56" s="14"/>
      <c r="G56" s="14"/>
      <c r="H56" s="14"/>
      <c r="J56" s="14"/>
      <c r="K56" s="14"/>
      <c r="L56" s="14"/>
      <c r="M56" s="14"/>
      <c r="N56" s="14"/>
      <c r="O56" s="14"/>
      <c r="P56" s="14"/>
      <c r="Q56" s="14"/>
      <c r="R56" s="14"/>
    </row>
    <row r="57" spans="1:18" ht="12.75" customHeight="1">
      <c r="E57" s="14"/>
      <c r="F57" s="14"/>
      <c r="G57" s="14"/>
      <c r="H57" s="14"/>
      <c r="J57" s="14"/>
      <c r="K57" s="14"/>
      <c r="L57" s="14"/>
      <c r="M57" s="14"/>
      <c r="N57" s="14"/>
      <c r="O57" s="14"/>
      <c r="P57" s="14"/>
      <c r="Q57" s="14"/>
      <c r="R57" s="14"/>
    </row>
    <row r="58" spans="1:18" ht="12.75" customHeight="1">
      <c r="D58" s="7"/>
      <c r="E58" s="14"/>
      <c r="F58" s="14"/>
      <c r="G58" s="14"/>
      <c r="H58" s="14"/>
      <c r="J58" s="14"/>
      <c r="K58" s="14"/>
      <c r="L58" s="14"/>
      <c r="M58" s="14"/>
      <c r="N58" s="14"/>
      <c r="O58" s="14"/>
      <c r="P58" s="14"/>
      <c r="Q58" s="14"/>
      <c r="R58" s="14"/>
    </row>
    <row r="59" spans="1:18" ht="12.75" customHeight="1">
      <c r="D59" s="7"/>
      <c r="E59" s="14"/>
      <c r="F59" s="14"/>
      <c r="G59" s="14"/>
      <c r="H59" s="14"/>
      <c r="J59" s="14"/>
      <c r="K59" s="14"/>
      <c r="L59" s="14"/>
      <c r="M59" s="14"/>
      <c r="N59" s="14"/>
      <c r="O59" s="14"/>
      <c r="P59" s="14"/>
      <c r="Q59" s="14"/>
      <c r="R59" s="14"/>
    </row>
    <row r="60" spans="1:18" ht="12.75" customHeight="1">
      <c r="D60" s="7"/>
      <c r="E60" s="14"/>
      <c r="F60" s="14"/>
      <c r="G60" s="14"/>
      <c r="H60" s="14"/>
      <c r="J60" s="14"/>
      <c r="K60" s="14"/>
      <c r="L60" s="14"/>
      <c r="M60" s="14"/>
      <c r="N60" s="14"/>
      <c r="O60" s="14"/>
      <c r="P60" s="14"/>
      <c r="Q60" s="14"/>
      <c r="R60" s="14"/>
    </row>
    <row r="61" spans="1:18" ht="12.75" customHeight="1">
      <c r="D61" s="7"/>
      <c r="E61" s="14"/>
      <c r="F61" s="14"/>
      <c r="G61" s="14"/>
      <c r="H61" s="14"/>
      <c r="J61" s="14"/>
      <c r="K61" s="14"/>
      <c r="L61" s="14"/>
      <c r="M61" s="14"/>
      <c r="N61" s="14"/>
      <c r="O61" s="14"/>
      <c r="P61" s="14"/>
      <c r="Q61" s="14"/>
      <c r="R61" s="14"/>
    </row>
    <row r="62" spans="1:18" ht="12.75" customHeight="1">
      <c r="D62" s="7"/>
      <c r="E62" s="14"/>
      <c r="F62" s="14"/>
      <c r="G62" s="14"/>
      <c r="H62" s="14"/>
      <c r="J62" s="14"/>
      <c r="K62" s="14"/>
      <c r="L62" s="14"/>
      <c r="M62" s="14"/>
      <c r="N62" s="14"/>
      <c r="O62" s="14"/>
      <c r="P62" s="14"/>
      <c r="Q62" s="14"/>
      <c r="R62" s="14"/>
    </row>
    <row r="63" spans="1:18" ht="12.75" customHeight="1">
      <c r="E63" s="14"/>
      <c r="F63" s="14"/>
      <c r="G63" s="14"/>
      <c r="H63" s="14"/>
      <c r="J63" s="14"/>
      <c r="K63" s="14"/>
      <c r="L63" s="14"/>
      <c r="M63" s="14"/>
      <c r="N63" s="14"/>
      <c r="O63" s="14"/>
      <c r="P63" s="14"/>
      <c r="Q63" s="14"/>
      <c r="R63" s="14"/>
    </row>
    <row r="64" spans="1:18" ht="12.75" customHeight="1">
      <c r="E64" s="14"/>
      <c r="F64" s="14"/>
      <c r="G64" s="14"/>
      <c r="H64" s="14"/>
      <c r="J64" s="14"/>
      <c r="K64" s="14"/>
      <c r="L64" s="14"/>
      <c r="M64" s="14"/>
      <c r="N64" s="14"/>
      <c r="O64" s="14"/>
      <c r="P64" s="14"/>
      <c r="Q64" s="14"/>
      <c r="R64" s="14"/>
    </row>
    <row r="65" spans="5:18" ht="12.75" customHeight="1">
      <c r="E65" s="14"/>
      <c r="F65" s="14"/>
      <c r="G65" s="14"/>
      <c r="H65" s="14"/>
      <c r="J65" s="14"/>
      <c r="K65" s="14"/>
      <c r="L65" s="14"/>
      <c r="M65" s="14"/>
      <c r="N65" s="14"/>
      <c r="O65" s="14"/>
      <c r="P65" s="14"/>
      <c r="Q65" s="14"/>
      <c r="R65" s="14"/>
    </row>
    <row r="66" spans="5:18" ht="12.75" customHeight="1">
      <c r="E66" s="14"/>
      <c r="F66" s="14"/>
      <c r="G66" s="14"/>
      <c r="H66" s="14"/>
      <c r="J66" s="14"/>
      <c r="K66" s="14"/>
      <c r="L66" s="14"/>
      <c r="M66" s="14"/>
      <c r="N66" s="14"/>
      <c r="O66" s="14"/>
      <c r="P66" s="14"/>
      <c r="Q66" s="14"/>
      <c r="R66" s="14"/>
    </row>
    <row r="67" spans="5:18" ht="12.75" customHeight="1"/>
    <row r="68" spans="5:18" ht="12.75" customHeight="1"/>
    <row r="69" spans="5:18" ht="12.75" customHeight="1"/>
    <row r="70" spans="5:18" ht="12.75" customHeight="1"/>
    <row r="71" spans="5:18" ht="12.75" customHeight="1"/>
    <row r="72" spans="5:18" ht="12.75" customHeight="1"/>
    <row r="73" spans="5:18" ht="12.75" customHeight="1"/>
    <row r="74" spans="5:18" ht="12.75" customHeight="1"/>
    <row r="75" spans="5:18" ht="12.75" customHeight="1"/>
    <row r="76" spans="5:18" ht="12.75" customHeight="1"/>
    <row r="77" spans="5:18" ht="12.75" customHeight="1"/>
    <row r="78" spans="5:18" ht="12.75" customHeight="1"/>
    <row r="79" spans="5:18" ht="12.75" customHeight="1"/>
    <row r="80" spans="5:18"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sheetData>
  <phoneticPr fontId="4" type="noConversion"/>
  <pageMargins left="0.75" right="0.75" top="1" bottom="0.75" header="0.5" footer="0.5"/>
  <pageSetup scale="75" orientation="landscape" blackAndWhite="1"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5"/>
  <sheetViews>
    <sheetView showGridLines="0" zoomScaleNormal="100" workbookViewId="0">
      <pane ySplit="6" topLeftCell="A7" activePane="bottomLeft" state="frozen"/>
      <selection pane="bottomLeft" activeCell="E36" sqref="E36"/>
    </sheetView>
  </sheetViews>
  <sheetFormatPr defaultColWidth="8.85546875" defaultRowHeight="12" outlineLevelRow="1"/>
  <cols>
    <col min="1" max="3" width="3" style="6" customWidth="1"/>
    <col min="4" max="4" width="22.85546875" customWidth="1"/>
    <col min="5" max="16" width="10.85546875" customWidth="1"/>
    <col min="17" max="17" width="15.85546875" customWidth="1"/>
    <col min="18" max="18" width="8.85546875" customWidth="1"/>
  </cols>
  <sheetData>
    <row r="1" spans="1:17" ht="15.75">
      <c r="A1" s="5" t="str">
        <f>'1. Required Start-Up Funds'!A1</f>
        <v xml:space="preserve"> </v>
      </c>
    </row>
    <row r="2" spans="1:17" ht="15.75">
      <c r="A2" s="5" t="s">
        <v>45</v>
      </c>
    </row>
    <row r="3" spans="1:17" ht="12.75" customHeight="1">
      <c r="A3" s="1"/>
      <c r="B3" s="1"/>
      <c r="C3" s="1"/>
      <c r="D3" s="37"/>
      <c r="E3" s="37"/>
      <c r="F3" s="37"/>
      <c r="G3" s="37"/>
      <c r="H3" s="37"/>
      <c r="I3" s="37"/>
      <c r="J3" s="37"/>
      <c r="K3" s="37"/>
      <c r="L3" s="37"/>
      <c r="M3" s="37"/>
      <c r="N3" s="37"/>
      <c r="O3" s="37"/>
      <c r="P3" s="37"/>
      <c r="Q3" s="37"/>
    </row>
    <row r="4" spans="1:17" ht="12.75" customHeight="1">
      <c r="A4" s="1"/>
      <c r="B4" s="1"/>
      <c r="C4" s="1"/>
      <c r="D4" s="37"/>
      <c r="E4" s="37"/>
      <c r="F4" s="37"/>
      <c r="G4" s="37"/>
      <c r="H4" s="37"/>
      <c r="I4" s="37"/>
      <c r="J4" s="37"/>
      <c r="K4" s="37"/>
      <c r="L4" s="37"/>
      <c r="M4" s="37"/>
      <c r="N4" s="37"/>
      <c r="O4" s="37"/>
      <c r="P4" s="37"/>
      <c r="Q4" s="37"/>
    </row>
    <row r="5" spans="1:17" ht="12.75" customHeight="1">
      <c r="A5" s="1"/>
      <c r="B5" s="1"/>
      <c r="C5" s="1"/>
      <c r="D5" s="37"/>
      <c r="E5" s="37"/>
      <c r="F5" s="37"/>
      <c r="G5" s="37"/>
      <c r="H5" s="37"/>
      <c r="I5" s="37"/>
      <c r="J5" s="37"/>
      <c r="K5" s="37"/>
      <c r="L5" s="37"/>
      <c r="M5" s="37"/>
      <c r="N5" s="37"/>
      <c r="O5" s="37"/>
      <c r="P5" s="37"/>
      <c r="Q5" s="37"/>
    </row>
    <row r="6" spans="1:17" ht="12.75" customHeight="1" thickBot="1">
      <c r="A6" s="1"/>
      <c r="B6" s="1"/>
      <c r="C6" s="1"/>
      <c r="D6" s="37"/>
      <c r="E6" s="40">
        <f>'4a.Prod 1-6 Unit Sales Forecast'!H6</f>
        <v>1</v>
      </c>
      <c r="F6" s="40">
        <f>'4a.Prod 1-6 Unit Sales Forecast'!I6</f>
        <v>2</v>
      </c>
      <c r="G6" s="40">
        <f>'4a.Prod 1-6 Unit Sales Forecast'!J6</f>
        <v>3</v>
      </c>
      <c r="H6" s="40">
        <f>'4a.Prod 1-6 Unit Sales Forecast'!K6</f>
        <v>4</v>
      </c>
      <c r="I6" s="40">
        <f>'4a.Prod 1-6 Unit Sales Forecast'!L6</f>
        <v>5</v>
      </c>
      <c r="J6" s="40">
        <f>'4a.Prod 1-6 Unit Sales Forecast'!M6</f>
        <v>6</v>
      </c>
      <c r="K6" s="40">
        <f>'4a.Prod 1-6 Unit Sales Forecast'!N6</f>
        <v>7</v>
      </c>
      <c r="L6" s="40">
        <f>'4a.Prod 1-6 Unit Sales Forecast'!O6</f>
        <v>8</v>
      </c>
      <c r="M6" s="40">
        <f>'4a.Prod 1-6 Unit Sales Forecast'!P6</f>
        <v>9</v>
      </c>
      <c r="N6" s="40">
        <f>'4a.Prod 1-6 Unit Sales Forecast'!Q6</f>
        <v>10</v>
      </c>
      <c r="O6" s="40">
        <f>'4a.Prod 1-6 Unit Sales Forecast'!R6</f>
        <v>11</v>
      </c>
      <c r="P6" s="40">
        <f>'4a.Prod 1-6 Unit Sales Forecast'!S6</f>
        <v>12</v>
      </c>
      <c r="Q6" s="40" t="s">
        <v>248</v>
      </c>
    </row>
    <row r="7" spans="1:17" ht="12.75" customHeight="1" thickTop="1">
      <c r="A7" s="1"/>
      <c r="B7" s="1"/>
      <c r="C7" s="1"/>
      <c r="D7" s="37"/>
      <c r="E7" s="37"/>
      <c r="F7" s="37"/>
      <c r="G7" s="37"/>
      <c r="H7" s="37"/>
      <c r="I7" s="37"/>
      <c r="J7" s="37"/>
      <c r="K7" s="37"/>
      <c r="L7" s="37"/>
      <c r="M7" s="37"/>
      <c r="N7" s="37"/>
      <c r="O7" s="37"/>
      <c r="P7" s="37"/>
      <c r="Q7" s="37"/>
    </row>
    <row r="8" spans="1:17" ht="12.75" customHeight="1" outlineLevel="1">
      <c r="A8" s="1" t="s">
        <v>168</v>
      </c>
      <c r="B8" s="1"/>
      <c r="C8" s="1"/>
      <c r="D8" s="37"/>
      <c r="E8" s="37"/>
      <c r="F8" s="37"/>
      <c r="G8" s="37"/>
      <c r="H8" s="37"/>
      <c r="I8" s="37"/>
      <c r="J8" s="37"/>
      <c r="K8" s="37"/>
      <c r="L8" s="37"/>
      <c r="M8" s="37"/>
      <c r="N8" s="37"/>
      <c r="O8" s="37"/>
      <c r="P8" s="37"/>
      <c r="Q8" s="37"/>
    </row>
    <row r="9" spans="1:17" ht="12.75" customHeight="1" outlineLevel="1">
      <c r="A9" s="1"/>
      <c r="B9" s="1" t="str">
        <f>'4a.Prod 1-6 Unit Sales Forecast'!A8</f>
        <v>Product/Service 1</v>
      </c>
      <c r="C9" s="1"/>
      <c r="D9" s="37"/>
      <c r="E9" s="265">
        <f>'4a.Prod 1-6 Unit Sales Forecast'!$E$9*'4a.Prod 1-6 Unit Sales Forecast'!H14</f>
        <v>0</v>
      </c>
      <c r="F9" s="265">
        <f>'4a.Prod 1-6 Unit Sales Forecast'!$E$9*'4a.Prod 1-6 Unit Sales Forecast'!I14</f>
        <v>0</v>
      </c>
      <c r="G9" s="265">
        <f>'4a.Prod 1-6 Unit Sales Forecast'!$E$9*'4a.Prod 1-6 Unit Sales Forecast'!J14</f>
        <v>0</v>
      </c>
      <c r="H9" s="265">
        <f>'4a.Prod 1-6 Unit Sales Forecast'!$E$9*'4a.Prod 1-6 Unit Sales Forecast'!K14</f>
        <v>0</v>
      </c>
      <c r="I9" s="265">
        <f>'4a.Prod 1-6 Unit Sales Forecast'!$E$9*'4a.Prod 1-6 Unit Sales Forecast'!L14</f>
        <v>0</v>
      </c>
      <c r="J9" s="265">
        <f>'4a.Prod 1-6 Unit Sales Forecast'!$E$9*'4a.Prod 1-6 Unit Sales Forecast'!M14</f>
        <v>0</v>
      </c>
      <c r="K9" s="265">
        <f>'4a.Prod 1-6 Unit Sales Forecast'!$E$9*'4a.Prod 1-6 Unit Sales Forecast'!N14</f>
        <v>0</v>
      </c>
      <c r="L9" s="265">
        <f>'4a.Prod 1-6 Unit Sales Forecast'!$E$9*'4a.Prod 1-6 Unit Sales Forecast'!O14</f>
        <v>0</v>
      </c>
      <c r="M9" s="265">
        <f>'4a.Prod 1-6 Unit Sales Forecast'!$E$9*'4a.Prod 1-6 Unit Sales Forecast'!P14</f>
        <v>0</v>
      </c>
      <c r="N9" s="265">
        <f>'4a.Prod 1-6 Unit Sales Forecast'!$E$9*'4a.Prod 1-6 Unit Sales Forecast'!Q14</f>
        <v>0</v>
      </c>
      <c r="O9" s="265">
        <f>'4a.Prod 1-6 Unit Sales Forecast'!$E$9*'4a.Prod 1-6 Unit Sales Forecast'!R14</f>
        <v>0</v>
      </c>
      <c r="P9" s="265">
        <f>'4a.Prod 1-6 Unit Sales Forecast'!$E$9*'4a.Prod 1-6 Unit Sales Forecast'!S14</f>
        <v>0</v>
      </c>
      <c r="Q9" s="53">
        <f t="shared" ref="Q9:Q15" si="0">SUM(E9:P9)</f>
        <v>0</v>
      </c>
    </row>
    <row r="10" spans="1:17" ht="12.75" customHeight="1" outlineLevel="1">
      <c r="A10" s="1"/>
      <c r="B10" s="1" t="str">
        <f>'4a.Prod 1-6 Unit Sales Forecast'!A30</f>
        <v>Product/Service 2</v>
      </c>
      <c r="C10" s="1"/>
      <c r="D10" s="37"/>
      <c r="E10" s="265">
        <f>'4a.Prod 1-6 Unit Sales Forecast'!$E$31*'4a.Prod 1-6 Unit Sales Forecast'!H36</f>
        <v>0</v>
      </c>
      <c r="F10" s="265">
        <f>'4a.Prod 1-6 Unit Sales Forecast'!$E$31*'4a.Prod 1-6 Unit Sales Forecast'!I36</f>
        <v>0</v>
      </c>
      <c r="G10" s="265">
        <f>'4a.Prod 1-6 Unit Sales Forecast'!$E$31*'4a.Prod 1-6 Unit Sales Forecast'!J36</f>
        <v>0</v>
      </c>
      <c r="H10" s="265">
        <f>'4a.Prod 1-6 Unit Sales Forecast'!$E$31*'4a.Prod 1-6 Unit Sales Forecast'!K36</f>
        <v>0</v>
      </c>
      <c r="I10" s="265">
        <f>'4a.Prod 1-6 Unit Sales Forecast'!$E$31*'4a.Prod 1-6 Unit Sales Forecast'!L36</f>
        <v>0</v>
      </c>
      <c r="J10" s="265">
        <f>'4a.Prod 1-6 Unit Sales Forecast'!$E$31*'4a.Prod 1-6 Unit Sales Forecast'!M36</f>
        <v>0</v>
      </c>
      <c r="K10" s="265">
        <f>'4a.Prod 1-6 Unit Sales Forecast'!$E$31*'4a.Prod 1-6 Unit Sales Forecast'!N36</f>
        <v>0</v>
      </c>
      <c r="L10" s="265">
        <f>'4a.Prod 1-6 Unit Sales Forecast'!$E$31*'4a.Prod 1-6 Unit Sales Forecast'!O36</f>
        <v>0</v>
      </c>
      <c r="M10" s="265">
        <f>'4a.Prod 1-6 Unit Sales Forecast'!$E$31*'4a.Prod 1-6 Unit Sales Forecast'!P36</f>
        <v>0</v>
      </c>
      <c r="N10" s="265">
        <f>'4a.Prod 1-6 Unit Sales Forecast'!$E$31*'4a.Prod 1-6 Unit Sales Forecast'!Q36</f>
        <v>0</v>
      </c>
      <c r="O10" s="265">
        <f>'4a.Prod 1-6 Unit Sales Forecast'!$E$31*'4a.Prod 1-6 Unit Sales Forecast'!R36</f>
        <v>0</v>
      </c>
      <c r="P10" s="265">
        <f>'4a.Prod 1-6 Unit Sales Forecast'!$E$31*'4a.Prod 1-6 Unit Sales Forecast'!S36</f>
        <v>0</v>
      </c>
      <c r="Q10" s="53">
        <f t="shared" si="0"/>
        <v>0</v>
      </c>
    </row>
    <row r="11" spans="1:17" ht="12.75" customHeight="1" outlineLevel="1">
      <c r="A11" s="1"/>
      <c r="B11" s="1" t="str">
        <f>'4a.Prod 1-6 Unit Sales Forecast'!A52</f>
        <v>Product/Service 3</v>
      </c>
      <c r="C11" s="1"/>
      <c r="D11" s="37"/>
      <c r="E11" s="265">
        <f>'4a.Prod 1-6 Unit Sales Forecast'!$E$53*'4a.Prod 1-6 Unit Sales Forecast'!H58</f>
        <v>0</v>
      </c>
      <c r="F11" s="265">
        <f>'4a.Prod 1-6 Unit Sales Forecast'!$E$53*'4a.Prod 1-6 Unit Sales Forecast'!I58</f>
        <v>0</v>
      </c>
      <c r="G11" s="265">
        <f>'4a.Prod 1-6 Unit Sales Forecast'!$E$53*'4a.Prod 1-6 Unit Sales Forecast'!J58</f>
        <v>0</v>
      </c>
      <c r="H11" s="265">
        <f>'4a.Prod 1-6 Unit Sales Forecast'!$E$53*'4a.Prod 1-6 Unit Sales Forecast'!K58</f>
        <v>0</v>
      </c>
      <c r="I11" s="265">
        <f>'4a.Prod 1-6 Unit Sales Forecast'!$E$53*'4a.Prod 1-6 Unit Sales Forecast'!L58</f>
        <v>0</v>
      </c>
      <c r="J11" s="265">
        <f>'4a.Prod 1-6 Unit Sales Forecast'!$E$53*'4a.Prod 1-6 Unit Sales Forecast'!M58</f>
        <v>0</v>
      </c>
      <c r="K11" s="265">
        <f>'4a.Prod 1-6 Unit Sales Forecast'!$E$53*'4a.Prod 1-6 Unit Sales Forecast'!N58</f>
        <v>0</v>
      </c>
      <c r="L11" s="265">
        <f>'4a.Prod 1-6 Unit Sales Forecast'!$E$53*'4a.Prod 1-6 Unit Sales Forecast'!O58</f>
        <v>0</v>
      </c>
      <c r="M11" s="265">
        <f>'4a.Prod 1-6 Unit Sales Forecast'!$E$53*'4a.Prod 1-6 Unit Sales Forecast'!P58</f>
        <v>0</v>
      </c>
      <c r="N11" s="265">
        <f>'4a.Prod 1-6 Unit Sales Forecast'!$E$53*'4a.Prod 1-6 Unit Sales Forecast'!Q58</f>
        <v>0</v>
      </c>
      <c r="O11" s="265">
        <f>'4a.Prod 1-6 Unit Sales Forecast'!$E$53*'4a.Prod 1-6 Unit Sales Forecast'!R58</f>
        <v>0</v>
      </c>
      <c r="P11" s="265">
        <f>'4a.Prod 1-6 Unit Sales Forecast'!$E$53*'4a.Prod 1-6 Unit Sales Forecast'!S58</f>
        <v>0</v>
      </c>
      <c r="Q11" s="53">
        <f t="shared" si="0"/>
        <v>0</v>
      </c>
    </row>
    <row r="12" spans="1:17" ht="12.75" customHeight="1" outlineLevel="1">
      <c r="A12" s="1"/>
      <c r="B12" s="1" t="str">
        <f>'4a.Prod 1-6 Unit Sales Forecast'!A74</f>
        <v>Product/Service 4</v>
      </c>
      <c r="C12" s="1"/>
      <c r="D12" s="37"/>
      <c r="E12" s="265">
        <f>'4a.Prod 1-6 Unit Sales Forecast'!$E$75*'4a.Prod 1-6 Unit Sales Forecast'!H80</f>
        <v>0</v>
      </c>
      <c r="F12" s="265">
        <f>'4a.Prod 1-6 Unit Sales Forecast'!$E$75*'4a.Prod 1-6 Unit Sales Forecast'!I80</f>
        <v>0</v>
      </c>
      <c r="G12" s="265">
        <f>'4a.Prod 1-6 Unit Sales Forecast'!$E$75*'4a.Prod 1-6 Unit Sales Forecast'!J80</f>
        <v>0</v>
      </c>
      <c r="H12" s="265">
        <f>'4a.Prod 1-6 Unit Sales Forecast'!$E$75*'4a.Prod 1-6 Unit Sales Forecast'!K80</f>
        <v>0</v>
      </c>
      <c r="I12" s="265">
        <f>'4a.Prod 1-6 Unit Sales Forecast'!$E$75*'4a.Prod 1-6 Unit Sales Forecast'!L80</f>
        <v>0</v>
      </c>
      <c r="J12" s="265">
        <f>'4a.Prod 1-6 Unit Sales Forecast'!$E$75*'4a.Prod 1-6 Unit Sales Forecast'!M80</f>
        <v>0</v>
      </c>
      <c r="K12" s="265">
        <f>'4a.Prod 1-6 Unit Sales Forecast'!$E$75*'4a.Prod 1-6 Unit Sales Forecast'!N80</f>
        <v>0</v>
      </c>
      <c r="L12" s="265">
        <f>'4a.Prod 1-6 Unit Sales Forecast'!$E$75*'4a.Prod 1-6 Unit Sales Forecast'!O80</f>
        <v>0</v>
      </c>
      <c r="M12" s="265">
        <f>'4a.Prod 1-6 Unit Sales Forecast'!$E$75*'4a.Prod 1-6 Unit Sales Forecast'!P80</f>
        <v>0</v>
      </c>
      <c r="N12" s="265">
        <f>'4a.Prod 1-6 Unit Sales Forecast'!$E$75*'4a.Prod 1-6 Unit Sales Forecast'!Q80</f>
        <v>0</v>
      </c>
      <c r="O12" s="265">
        <f>'4a.Prod 1-6 Unit Sales Forecast'!$E$75*'4a.Prod 1-6 Unit Sales Forecast'!R80</f>
        <v>0</v>
      </c>
      <c r="P12" s="265">
        <f>'4a.Prod 1-6 Unit Sales Forecast'!$E$75*'4a.Prod 1-6 Unit Sales Forecast'!S80</f>
        <v>0</v>
      </c>
      <c r="Q12" s="53">
        <f t="shared" si="0"/>
        <v>0</v>
      </c>
    </row>
    <row r="13" spans="1:17" ht="12.75" customHeight="1" outlineLevel="1">
      <c r="A13" s="1"/>
      <c r="B13" s="1" t="str">
        <f>'4a.Prod 1-6 Unit Sales Forecast'!A96</f>
        <v>Product/Service 5</v>
      </c>
      <c r="C13" s="1"/>
      <c r="D13" s="37"/>
      <c r="E13" s="265">
        <f>'4a.Prod 1-6 Unit Sales Forecast'!$E$97*'4a.Prod 1-6 Unit Sales Forecast'!H102</f>
        <v>0</v>
      </c>
      <c r="F13" s="265">
        <f>'4a.Prod 1-6 Unit Sales Forecast'!$E$97*'4a.Prod 1-6 Unit Sales Forecast'!I102</f>
        <v>0</v>
      </c>
      <c r="G13" s="265">
        <f>'4a.Prod 1-6 Unit Sales Forecast'!$E$97*'4a.Prod 1-6 Unit Sales Forecast'!J102</f>
        <v>0</v>
      </c>
      <c r="H13" s="265">
        <f>'4a.Prod 1-6 Unit Sales Forecast'!$E$97*'4a.Prod 1-6 Unit Sales Forecast'!K102</f>
        <v>0</v>
      </c>
      <c r="I13" s="265">
        <f>'4a.Prod 1-6 Unit Sales Forecast'!$E$97*'4a.Prod 1-6 Unit Sales Forecast'!L102</f>
        <v>0</v>
      </c>
      <c r="J13" s="265">
        <f>'4a.Prod 1-6 Unit Sales Forecast'!$E$97*'4a.Prod 1-6 Unit Sales Forecast'!M102</f>
        <v>0</v>
      </c>
      <c r="K13" s="265">
        <f>'4a.Prod 1-6 Unit Sales Forecast'!$E$97*'4a.Prod 1-6 Unit Sales Forecast'!N102</f>
        <v>0</v>
      </c>
      <c r="L13" s="265">
        <f>'4a.Prod 1-6 Unit Sales Forecast'!$E$97*'4a.Prod 1-6 Unit Sales Forecast'!O102</f>
        <v>0</v>
      </c>
      <c r="M13" s="265">
        <f>'4a.Prod 1-6 Unit Sales Forecast'!$E$97*'4a.Prod 1-6 Unit Sales Forecast'!P102</f>
        <v>0</v>
      </c>
      <c r="N13" s="265">
        <f>'4a.Prod 1-6 Unit Sales Forecast'!$E$97*'4a.Prod 1-6 Unit Sales Forecast'!Q102</f>
        <v>0</v>
      </c>
      <c r="O13" s="265">
        <f>'4a.Prod 1-6 Unit Sales Forecast'!$E$97*'4a.Prod 1-6 Unit Sales Forecast'!R102</f>
        <v>0</v>
      </c>
      <c r="P13" s="265">
        <f>'4a.Prod 1-6 Unit Sales Forecast'!$E$97*'4a.Prod 1-6 Unit Sales Forecast'!S102</f>
        <v>0</v>
      </c>
      <c r="Q13" s="53">
        <f t="shared" si="0"/>
        <v>0</v>
      </c>
    </row>
    <row r="14" spans="1:17" ht="12.75" customHeight="1" outlineLevel="1">
      <c r="A14" s="1"/>
      <c r="B14" s="185" t="str">
        <f>'4a.Prod 1-6 Unit Sales Forecast'!A118</f>
        <v>Product/Service 6</v>
      </c>
      <c r="C14" s="1"/>
      <c r="D14" s="1"/>
      <c r="E14" s="265" t="str">
        <f>IF('4a.Prod 1-6 Unit Sales Forecast'!$E$119&gt;0,'4a.Prod 1-6 Unit Sales Forecast'!$E$119*'4a.Prod 1-6 Unit Sales Forecast'!H124,"")</f>
        <v/>
      </c>
      <c r="F14" s="265" t="str">
        <f>IF('4a.Prod 1-6 Unit Sales Forecast'!$E$119&gt;0,'4a.Prod 1-6 Unit Sales Forecast'!$E$119*'4a.Prod 1-6 Unit Sales Forecast'!I124,"")</f>
        <v/>
      </c>
      <c r="G14" s="265" t="str">
        <f>IF('4a.Prod 1-6 Unit Sales Forecast'!$E$119&gt;0,'4a.Prod 1-6 Unit Sales Forecast'!$E$119*'4a.Prod 1-6 Unit Sales Forecast'!J124,"")</f>
        <v/>
      </c>
      <c r="H14" s="265" t="str">
        <f>IF('4a.Prod 1-6 Unit Sales Forecast'!$E$119&gt;0,'4a.Prod 1-6 Unit Sales Forecast'!$E$119*'4a.Prod 1-6 Unit Sales Forecast'!K124,"")</f>
        <v/>
      </c>
      <c r="I14" s="265" t="str">
        <f>IF('4a.Prod 1-6 Unit Sales Forecast'!$E$119&gt;0,'4a.Prod 1-6 Unit Sales Forecast'!$E$119*'4a.Prod 1-6 Unit Sales Forecast'!L124,"")</f>
        <v/>
      </c>
      <c r="J14" s="265" t="str">
        <f>IF('4a.Prod 1-6 Unit Sales Forecast'!$E$119&gt;0,'4a.Prod 1-6 Unit Sales Forecast'!$E$119*'4a.Prod 1-6 Unit Sales Forecast'!M124,"")</f>
        <v/>
      </c>
      <c r="K14" s="265" t="str">
        <f>IF('4a.Prod 1-6 Unit Sales Forecast'!$E$119&gt;0,'4a.Prod 1-6 Unit Sales Forecast'!$E$119*'4a.Prod 1-6 Unit Sales Forecast'!N124,"")</f>
        <v/>
      </c>
      <c r="L14" s="265" t="str">
        <f>IF('4a.Prod 1-6 Unit Sales Forecast'!$E$119&gt;0,'4a.Prod 1-6 Unit Sales Forecast'!$E$119*'4a.Prod 1-6 Unit Sales Forecast'!O124,"")</f>
        <v/>
      </c>
      <c r="M14" s="265" t="str">
        <f>IF('4a.Prod 1-6 Unit Sales Forecast'!$E$119&gt;0,'4a.Prod 1-6 Unit Sales Forecast'!$E$119*'4a.Prod 1-6 Unit Sales Forecast'!P124,"")</f>
        <v/>
      </c>
      <c r="N14" s="265" t="str">
        <f>IF('4a.Prod 1-6 Unit Sales Forecast'!$E$119&gt;0,'4a.Prod 1-6 Unit Sales Forecast'!$E$119*'4a.Prod 1-6 Unit Sales Forecast'!Q124,"")</f>
        <v/>
      </c>
      <c r="O14" s="265" t="str">
        <f>IF('4a.Prod 1-6 Unit Sales Forecast'!$E$119&gt;0,'4a.Prod 1-6 Unit Sales Forecast'!$E$119*'4a.Prod 1-6 Unit Sales Forecast'!R124,"")</f>
        <v/>
      </c>
      <c r="P14" s="265" t="str">
        <f>IF('4a.Prod 1-6 Unit Sales Forecast'!$E$119&gt;0,'4a.Prod 1-6 Unit Sales Forecast'!$E$119*'4a.Prod 1-6 Unit Sales Forecast'!S124,"")</f>
        <v/>
      </c>
      <c r="Q14" s="53">
        <f t="shared" si="0"/>
        <v>0</v>
      </c>
    </row>
    <row r="15" spans="1:17" ht="12.75" customHeight="1" outlineLevel="1" thickBot="1">
      <c r="A15" s="1"/>
      <c r="B15" s="230" t="s">
        <v>34</v>
      </c>
      <c r="C15" s="1"/>
      <c r="D15" s="1"/>
      <c r="E15" s="267">
        <f>+'5.Prod 7-20 Unit Sales Forecast'!H313</f>
        <v>0</v>
      </c>
      <c r="F15" s="267">
        <f>+'5.Prod 7-20 Unit Sales Forecast'!I313</f>
        <v>0</v>
      </c>
      <c r="G15" s="267">
        <f>+'5.Prod 7-20 Unit Sales Forecast'!J313</f>
        <v>0</v>
      </c>
      <c r="H15" s="267">
        <f>+'5.Prod 7-20 Unit Sales Forecast'!K313</f>
        <v>0</v>
      </c>
      <c r="I15" s="267">
        <f>+'5.Prod 7-20 Unit Sales Forecast'!L313</f>
        <v>0</v>
      </c>
      <c r="J15" s="267">
        <f>+'5.Prod 7-20 Unit Sales Forecast'!M313</f>
        <v>0</v>
      </c>
      <c r="K15" s="267">
        <f>+'5.Prod 7-20 Unit Sales Forecast'!N313</f>
        <v>0</v>
      </c>
      <c r="L15" s="267">
        <f>+'5.Prod 7-20 Unit Sales Forecast'!O313</f>
        <v>0</v>
      </c>
      <c r="M15" s="267">
        <f>+'5.Prod 7-20 Unit Sales Forecast'!P313</f>
        <v>0</v>
      </c>
      <c r="N15" s="267">
        <f>+'5.Prod 7-20 Unit Sales Forecast'!Q313</f>
        <v>0</v>
      </c>
      <c r="O15" s="267">
        <f>+'5.Prod 7-20 Unit Sales Forecast'!R313</f>
        <v>0</v>
      </c>
      <c r="P15" s="267">
        <f>+'5.Prod 7-20 Unit Sales Forecast'!S313</f>
        <v>0</v>
      </c>
      <c r="Q15" s="89">
        <f t="shared" si="0"/>
        <v>0</v>
      </c>
    </row>
    <row r="16" spans="1:17" ht="12.75" customHeight="1">
      <c r="A16" s="1" t="s">
        <v>169</v>
      </c>
      <c r="B16" s="1"/>
      <c r="C16" s="1"/>
      <c r="D16" s="37"/>
      <c r="E16" s="53">
        <f>SUM(E9:E15)</f>
        <v>0</v>
      </c>
      <c r="F16" s="53">
        <f t="shared" ref="F16:Q16" si="1">SUM(F9:F15)</f>
        <v>0</v>
      </c>
      <c r="G16" s="53">
        <f t="shared" si="1"/>
        <v>0</v>
      </c>
      <c r="H16" s="53">
        <f t="shared" si="1"/>
        <v>0</v>
      </c>
      <c r="I16" s="53">
        <f t="shared" si="1"/>
        <v>0</v>
      </c>
      <c r="J16" s="53">
        <f t="shared" si="1"/>
        <v>0</v>
      </c>
      <c r="K16" s="53">
        <f t="shared" si="1"/>
        <v>0</v>
      </c>
      <c r="L16" s="53">
        <f t="shared" si="1"/>
        <v>0</v>
      </c>
      <c r="M16" s="53">
        <f t="shared" si="1"/>
        <v>0</v>
      </c>
      <c r="N16" s="53">
        <f t="shared" si="1"/>
        <v>0</v>
      </c>
      <c r="O16" s="53">
        <f t="shared" si="1"/>
        <v>0</v>
      </c>
      <c r="P16" s="53">
        <f t="shared" si="1"/>
        <v>0</v>
      </c>
      <c r="Q16" s="53">
        <f t="shared" si="1"/>
        <v>0</v>
      </c>
    </row>
    <row r="17" spans="1:17" ht="12.75" customHeight="1">
      <c r="A17" s="1"/>
      <c r="B17" s="1"/>
      <c r="C17" s="1"/>
      <c r="D17" s="37"/>
      <c r="E17" s="37"/>
      <c r="F17" s="37"/>
      <c r="G17" s="37"/>
      <c r="H17" s="37"/>
      <c r="I17" s="37"/>
      <c r="J17" s="37"/>
      <c r="K17" s="37"/>
      <c r="L17" s="37"/>
      <c r="M17" s="37"/>
      <c r="N17" s="37"/>
      <c r="O17" s="37"/>
      <c r="P17" s="37"/>
      <c r="Q17" s="37"/>
    </row>
    <row r="18" spans="1:17" ht="12.75" customHeight="1" outlineLevel="1">
      <c r="A18" s="1" t="s">
        <v>170</v>
      </c>
      <c r="B18" s="1"/>
      <c r="C18" s="1"/>
      <c r="D18" s="37"/>
      <c r="E18" s="45"/>
      <c r="F18" s="45"/>
      <c r="G18" s="45"/>
      <c r="H18" s="45"/>
      <c r="I18" s="45"/>
      <c r="J18" s="45"/>
      <c r="K18" s="45"/>
      <c r="L18" s="45"/>
      <c r="M18" s="45"/>
      <c r="N18" s="45"/>
      <c r="O18" s="45"/>
      <c r="P18" s="45"/>
      <c r="Q18" s="45"/>
    </row>
    <row r="19" spans="1:17" ht="12.75" customHeight="1" outlineLevel="1">
      <c r="A19" s="1"/>
      <c r="B19" s="1" t="str">
        <f t="shared" ref="B19:B25" si="2">B9</f>
        <v>Product/Service 1</v>
      </c>
      <c r="C19" s="1"/>
      <c r="D19" s="37"/>
      <c r="E19" s="45">
        <f>'4a.Prod 1-6 Unit Sales Forecast'!$E$10*'4a.Prod 1-6 Unit Sales Forecast'!H14</f>
        <v>0</v>
      </c>
      <c r="F19" s="45">
        <f>'4a.Prod 1-6 Unit Sales Forecast'!$E$10*'4a.Prod 1-6 Unit Sales Forecast'!I14</f>
        <v>0</v>
      </c>
      <c r="G19" s="45">
        <f>'4a.Prod 1-6 Unit Sales Forecast'!$E$10*'4a.Prod 1-6 Unit Sales Forecast'!J14</f>
        <v>0</v>
      </c>
      <c r="H19" s="45">
        <f>'4a.Prod 1-6 Unit Sales Forecast'!$E$10*'4a.Prod 1-6 Unit Sales Forecast'!K14</f>
        <v>0</v>
      </c>
      <c r="I19" s="45">
        <f>'4a.Prod 1-6 Unit Sales Forecast'!$E$10*'4a.Prod 1-6 Unit Sales Forecast'!L14</f>
        <v>0</v>
      </c>
      <c r="J19" s="45">
        <f>'4a.Prod 1-6 Unit Sales Forecast'!$E$10*'4a.Prod 1-6 Unit Sales Forecast'!M14</f>
        <v>0</v>
      </c>
      <c r="K19" s="45">
        <f>'4a.Prod 1-6 Unit Sales Forecast'!$E$10*'4a.Prod 1-6 Unit Sales Forecast'!N14</f>
        <v>0</v>
      </c>
      <c r="L19" s="45">
        <f>'4a.Prod 1-6 Unit Sales Forecast'!$E$10*'4a.Prod 1-6 Unit Sales Forecast'!O14</f>
        <v>0</v>
      </c>
      <c r="M19" s="45">
        <f>'4a.Prod 1-6 Unit Sales Forecast'!$E$10*'4a.Prod 1-6 Unit Sales Forecast'!P14</f>
        <v>0</v>
      </c>
      <c r="N19" s="45">
        <f>'4a.Prod 1-6 Unit Sales Forecast'!$E$10*'4a.Prod 1-6 Unit Sales Forecast'!Q14</f>
        <v>0</v>
      </c>
      <c r="O19" s="45">
        <f>'4a.Prod 1-6 Unit Sales Forecast'!$E$10*'4a.Prod 1-6 Unit Sales Forecast'!R14</f>
        <v>0</v>
      </c>
      <c r="P19" s="45">
        <f>'4a.Prod 1-6 Unit Sales Forecast'!$E$10*'4a.Prod 1-6 Unit Sales Forecast'!S14</f>
        <v>0</v>
      </c>
      <c r="Q19" s="45">
        <f t="shared" ref="Q19:Q25" si="3">SUM(E19:P19)</f>
        <v>0</v>
      </c>
    </row>
    <row r="20" spans="1:17" ht="12.75" customHeight="1" outlineLevel="1">
      <c r="A20" s="1"/>
      <c r="B20" s="1" t="str">
        <f t="shared" si="2"/>
        <v>Product/Service 2</v>
      </c>
      <c r="C20" s="1"/>
      <c r="D20" s="37"/>
      <c r="E20" s="53">
        <f>'4a.Prod 1-6 Unit Sales Forecast'!$E$32*'4a.Prod 1-6 Unit Sales Forecast'!H36</f>
        <v>0</v>
      </c>
      <c r="F20" s="53">
        <f>'4a.Prod 1-6 Unit Sales Forecast'!$E$32*'4a.Prod 1-6 Unit Sales Forecast'!I36</f>
        <v>0</v>
      </c>
      <c r="G20" s="53">
        <f>'4a.Prod 1-6 Unit Sales Forecast'!$E$32*'4a.Prod 1-6 Unit Sales Forecast'!J36</f>
        <v>0</v>
      </c>
      <c r="H20" s="53">
        <f>'4a.Prod 1-6 Unit Sales Forecast'!$E$32*'4a.Prod 1-6 Unit Sales Forecast'!K36</f>
        <v>0</v>
      </c>
      <c r="I20" s="53">
        <f>'4a.Prod 1-6 Unit Sales Forecast'!$E$32*'4a.Prod 1-6 Unit Sales Forecast'!L36</f>
        <v>0</v>
      </c>
      <c r="J20" s="53">
        <f>'4a.Prod 1-6 Unit Sales Forecast'!$E$32*'4a.Prod 1-6 Unit Sales Forecast'!M36</f>
        <v>0</v>
      </c>
      <c r="K20" s="53">
        <f>'4a.Prod 1-6 Unit Sales Forecast'!$E$32*'4a.Prod 1-6 Unit Sales Forecast'!N36</f>
        <v>0</v>
      </c>
      <c r="L20" s="53">
        <f>'4a.Prod 1-6 Unit Sales Forecast'!$E$32*'4a.Prod 1-6 Unit Sales Forecast'!O36</f>
        <v>0</v>
      </c>
      <c r="M20" s="53">
        <f>'4a.Prod 1-6 Unit Sales Forecast'!$E$32*'4a.Prod 1-6 Unit Sales Forecast'!P36</f>
        <v>0</v>
      </c>
      <c r="N20" s="53">
        <f>'4a.Prod 1-6 Unit Sales Forecast'!$E$32*'4a.Prod 1-6 Unit Sales Forecast'!Q36</f>
        <v>0</v>
      </c>
      <c r="O20" s="53">
        <f>'4a.Prod 1-6 Unit Sales Forecast'!$E$32*'4a.Prod 1-6 Unit Sales Forecast'!R36</f>
        <v>0</v>
      </c>
      <c r="P20" s="53">
        <f>'4a.Prod 1-6 Unit Sales Forecast'!$E$32*'4a.Prod 1-6 Unit Sales Forecast'!S36</f>
        <v>0</v>
      </c>
      <c r="Q20" s="45">
        <f t="shared" si="3"/>
        <v>0</v>
      </c>
    </row>
    <row r="21" spans="1:17" ht="12.75" customHeight="1" outlineLevel="1">
      <c r="A21" s="1"/>
      <c r="B21" s="1" t="str">
        <f t="shared" si="2"/>
        <v>Product/Service 3</v>
      </c>
      <c r="C21" s="1"/>
      <c r="D21" s="37"/>
      <c r="E21" s="53">
        <f>'4a.Prod 1-6 Unit Sales Forecast'!$E$54*'4a.Prod 1-6 Unit Sales Forecast'!H58</f>
        <v>0</v>
      </c>
      <c r="F21" s="53">
        <f>'4a.Prod 1-6 Unit Sales Forecast'!$E$54*'4a.Prod 1-6 Unit Sales Forecast'!I58</f>
        <v>0</v>
      </c>
      <c r="G21" s="53">
        <f>'4a.Prod 1-6 Unit Sales Forecast'!$E$54*'4a.Prod 1-6 Unit Sales Forecast'!J58</f>
        <v>0</v>
      </c>
      <c r="H21" s="53">
        <f>'4a.Prod 1-6 Unit Sales Forecast'!$E$54*'4a.Prod 1-6 Unit Sales Forecast'!K58</f>
        <v>0</v>
      </c>
      <c r="I21" s="53">
        <f>'4a.Prod 1-6 Unit Sales Forecast'!$E$54*'4a.Prod 1-6 Unit Sales Forecast'!L58</f>
        <v>0</v>
      </c>
      <c r="J21" s="53">
        <f>'4a.Prod 1-6 Unit Sales Forecast'!$E$54*'4a.Prod 1-6 Unit Sales Forecast'!M58</f>
        <v>0</v>
      </c>
      <c r="K21" s="53">
        <f>'4a.Prod 1-6 Unit Sales Forecast'!$E$54*'4a.Prod 1-6 Unit Sales Forecast'!N58</f>
        <v>0</v>
      </c>
      <c r="L21" s="53">
        <f>'4a.Prod 1-6 Unit Sales Forecast'!$E$54*'4a.Prod 1-6 Unit Sales Forecast'!O58</f>
        <v>0</v>
      </c>
      <c r="M21" s="53">
        <f>'4a.Prod 1-6 Unit Sales Forecast'!$E$54*'4a.Prod 1-6 Unit Sales Forecast'!P58</f>
        <v>0</v>
      </c>
      <c r="N21" s="53">
        <f>'4a.Prod 1-6 Unit Sales Forecast'!$E$54*'4a.Prod 1-6 Unit Sales Forecast'!Q58</f>
        <v>0</v>
      </c>
      <c r="O21" s="53">
        <f>'4a.Prod 1-6 Unit Sales Forecast'!$E$54*'4a.Prod 1-6 Unit Sales Forecast'!R58</f>
        <v>0</v>
      </c>
      <c r="P21" s="53">
        <f>'4a.Prod 1-6 Unit Sales Forecast'!$E$54*'4a.Prod 1-6 Unit Sales Forecast'!S58</f>
        <v>0</v>
      </c>
      <c r="Q21" s="45">
        <f t="shared" si="3"/>
        <v>0</v>
      </c>
    </row>
    <row r="22" spans="1:17" ht="12.75" customHeight="1" outlineLevel="1">
      <c r="A22" s="1"/>
      <c r="B22" s="1" t="str">
        <f t="shared" si="2"/>
        <v>Product/Service 4</v>
      </c>
      <c r="C22" s="1"/>
      <c r="D22" s="37"/>
      <c r="E22" s="53">
        <f>'4a.Prod 1-6 Unit Sales Forecast'!$E$76*'4a.Prod 1-6 Unit Sales Forecast'!H80</f>
        <v>0</v>
      </c>
      <c r="F22" s="53">
        <f>'4a.Prod 1-6 Unit Sales Forecast'!$E$76*'4a.Prod 1-6 Unit Sales Forecast'!I80</f>
        <v>0</v>
      </c>
      <c r="G22" s="53">
        <f>'4a.Prod 1-6 Unit Sales Forecast'!$E$76*'4a.Prod 1-6 Unit Sales Forecast'!J80</f>
        <v>0</v>
      </c>
      <c r="H22" s="53">
        <f>'4a.Prod 1-6 Unit Sales Forecast'!$E$76*'4a.Prod 1-6 Unit Sales Forecast'!K80</f>
        <v>0</v>
      </c>
      <c r="I22" s="53">
        <f>'4a.Prod 1-6 Unit Sales Forecast'!$E$76*'4a.Prod 1-6 Unit Sales Forecast'!L80</f>
        <v>0</v>
      </c>
      <c r="J22" s="53">
        <f>'4a.Prod 1-6 Unit Sales Forecast'!$E$76*'4a.Prod 1-6 Unit Sales Forecast'!M80</f>
        <v>0</v>
      </c>
      <c r="K22" s="53">
        <f>'4a.Prod 1-6 Unit Sales Forecast'!$E$76*'4a.Prod 1-6 Unit Sales Forecast'!N80</f>
        <v>0</v>
      </c>
      <c r="L22" s="53">
        <f>'4a.Prod 1-6 Unit Sales Forecast'!$E$76*'4a.Prod 1-6 Unit Sales Forecast'!O80</f>
        <v>0</v>
      </c>
      <c r="M22" s="53">
        <f>'4a.Prod 1-6 Unit Sales Forecast'!$E$76*'4a.Prod 1-6 Unit Sales Forecast'!P80</f>
        <v>0</v>
      </c>
      <c r="N22" s="53">
        <f>'4a.Prod 1-6 Unit Sales Forecast'!$E$76*'4a.Prod 1-6 Unit Sales Forecast'!Q80</f>
        <v>0</v>
      </c>
      <c r="O22" s="53">
        <f>'4a.Prod 1-6 Unit Sales Forecast'!$E$76*'4a.Prod 1-6 Unit Sales Forecast'!R80</f>
        <v>0</v>
      </c>
      <c r="P22" s="53">
        <f>'4a.Prod 1-6 Unit Sales Forecast'!$E$76*'4a.Prod 1-6 Unit Sales Forecast'!S80</f>
        <v>0</v>
      </c>
      <c r="Q22" s="45">
        <f t="shared" si="3"/>
        <v>0</v>
      </c>
    </row>
    <row r="23" spans="1:17" ht="12.75" customHeight="1" outlineLevel="1">
      <c r="A23" s="1"/>
      <c r="B23" s="1" t="str">
        <f t="shared" si="2"/>
        <v>Product/Service 5</v>
      </c>
      <c r="C23" s="1"/>
      <c r="D23" s="37"/>
      <c r="E23" s="53">
        <f>'4a.Prod 1-6 Unit Sales Forecast'!$E$98*'4a.Prod 1-6 Unit Sales Forecast'!H102</f>
        <v>0</v>
      </c>
      <c r="F23" s="53">
        <f>'4a.Prod 1-6 Unit Sales Forecast'!$E$98*'4a.Prod 1-6 Unit Sales Forecast'!I102</f>
        <v>0</v>
      </c>
      <c r="G23" s="53">
        <f>'4a.Prod 1-6 Unit Sales Forecast'!$E$98*'4a.Prod 1-6 Unit Sales Forecast'!J102</f>
        <v>0</v>
      </c>
      <c r="H23" s="53">
        <f>'4a.Prod 1-6 Unit Sales Forecast'!$E$98*'4a.Prod 1-6 Unit Sales Forecast'!K102</f>
        <v>0</v>
      </c>
      <c r="I23" s="53">
        <f>'4a.Prod 1-6 Unit Sales Forecast'!$E$98*'4a.Prod 1-6 Unit Sales Forecast'!L102</f>
        <v>0</v>
      </c>
      <c r="J23" s="53">
        <f>'4a.Prod 1-6 Unit Sales Forecast'!$E$98*'4a.Prod 1-6 Unit Sales Forecast'!M102</f>
        <v>0</v>
      </c>
      <c r="K23" s="53">
        <f>'4a.Prod 1-6 Unit Sales Forecast'!$E$98*'4a.Prod 1-6 Unit Sales Forecast'!N102</f>
        <v>0</v>
      </c>
      <c r="L23" s="53">
        <f>'4a.Prod 1-6 Unit Sales Forecast'!$E$98*'4a.Prod 1-6 Unit Sales Forecast'!O102</f>
        <v>0</v>
      </c>
      <c r="M23" s="53">
        <f>'4a.Prod 1-6 Unit Sales Forecast'!$E$98*'4a.Prod 1-6 Unit Sales Forecast'!P102</f>
        <v>0</v>
      </c>
      <c r="N23" s="53">
        <f>'4a.Prod 1-6 Unit Sales Forecast'!$E$98*'4a.Prod 1-6 Unit Sales Forecast'!Q102</f>
        <v>0</v>
      </c>
      <c r="O23" s="53">
        <f>'4a.Prod 1-6 Unit Sales Forecast'!$E$98*'4a.Prod 1-6 Unit Sales Forecast'!R102</f>
        <v>0</v>
      </c>
      <c r="P23" s="53">
        <f>'4a.Prod 1-6 Unit Sales Forecast'!$E$98*'4a.Prod 1-6 Unit Sales Forecast'!S102</f>
        <v>0</v>
      </c>
      <c r="Q23" s="45">
        <f t="shared" si="3"/>
        <v>0</v>
      </c>
    </row>
    <row r="24" spans="1:17" ht="12.75" customHeight="1" outlineLevel="1">
      <c r="A24" s="1"/>
      <c r="B24" s="1" t="str">
        <f t="shared" si="2"/>
        <v>Product/Service 6</v>
      </c>
      <c r="C24" s="1"/>
      <c r="D24" s="37"/>
      <c r="E24" s="53" t="str">
        <f>IF('4a.Prod 1-6 Unit Sales Forecast'!$E$120&gt;0,'4a.Prod 1-6 Unit Sales Forecast'!$E$120*'4a.Prod 1-6 Unit Sales Forecast'!H124,"")</f>
        <v/>
      </c>
      <c r="F24" s="53" t="str">
        <f>IF('4a.Prod 1-6 Unit Sales Forecast'!$E$120&gt;0,'4a.Prod 1-6 Unit Sales Forecast'!$E$120*'4a.Prod 1-6 Unit Sales Forecast'!I124,"")</f>
        <v/>
      </c>
      <c r="G24" s="53" t="str">
        <f>IF('4a.Prod 1-6 Unit Sales Forecast'!$E$120&gt;0,'4a.Prod 1-6 Unit Sales Forecast'!$E$120*'4a.Prod 1-6 Unit Sales Forecast'!J124,"")</f>
        <v/>
      </c>
      <c r="H24" s="53" t="str">
        <f>IF('4a.Prod 1-6 Unit Sales Forecast'!$E$120&gt;0,'4a.Prod 1-6 Unit Sales Forecast'!$E$120*'4a.Prod 1-6 Unit Sales Forecast'!K124,"")</f>
        <v/>
      </c>
      <c r="I24" s="53" t="str">
        <f>IF('4a.Prod 1-6 Unit Sales Forecast'!$E$120&gt;0,'4a.Prod 1-6 Unit Sales Forecast'!$E$120*'4a.Prod 1-6 Unit Sales Forecast'!L124,"")</f>
        <v/>
      </c>
      <c r="J24" s="53" t="str">
        <f>IF('4a.Prod 1-6 Unit Sales Forecast'!$E$120&gt;0,'4a.Prod 1-6 Unit Sales Forecast'!$E$120*'4a.Prod 1-6 Unit Sales Forecast'!M124,"")</f>
        <v/>
      </c>
      <c r="K24" s="53" t="str">
        <f>IF('4a.Prod 1-6 Unit Sales Forecast'!$E$120&gt;0,'4a.Prod 1-6 Unit Sales Forecast'!$E$120*'4a.Prod 1-6 Unit Sales Forecast'!N124,"")</f>
        <v/>
      </c>
      <c r="L24" s="53" t="str">
        <f>IF('4a.Prod 1-6 Unit Sales Forecast'!$E$120&gt;0,'4a.Prod 1-6 Unit Sales Forecast'!$E$120*'4a.Prod 1-6 Unit Sales Forecast'!O124,"")</f>
        <v/>
      </c>
      <c r="M24" s="53" t="str">
        <f>IF('4a.Prod 1-6 Unit Sales Forecast'!$E$120&gt;0,'4a.Prod 1-6 Unit Sales Forecast'!$E$120*'4a.Prod 1-6 Unit Sales Forecast'!P124,"")</f>
        <v/>
      </c>
      <c r="N24" s="53" t="str">
        <f>IF('4a.Prod 1-6 Unit Sales Forecast'!$E$120&gt;0,'4a.Prod 1-6 Unit Sales Forecast'!$E$120*'4a.Prod 1-6 Unit Sales Forecast'!Q124,"")</f>
        <v/>
      </c>
      <c r="O24" s="53" t="str">
        <f>IF('4a.Prod 1-6 Unit Sales Forecast'!$E$120&gt;0,'4a.Prod 1-6 Unit Sales Forecast'!$E$120*'4a.Prod 1-6 Unit Sales Forecast'!R124,"")</f>
        <v/>
      </c>
      <c r="P24" s="53" t="str">
        <f>IF('4a.Prod 1-6 Unit Sales Forecast'!$E$120&gt;0,'4a.Prod 1-6 Unit Sales Forecast'!$E$120*'4a.Prod 1-6 Unit Sales Forecast'!S124,"")</f>
        <v/>
      </c>
      <c r="Q24" s="45">
        <f t="shared" si="3"/>
        <v>0</v>
      </c>
    </row>
    <row r="25" spans="1:17" ht="12.75" customHeight="1" outlineLevel="1" thickBot="1">
      <c r="A25" s="1"/>
      <c r="B25" s="1" t="str">
        <f t="shared" si="2"/>
        <v>Total of Multi-Product</v>
      </c>
      <c r="C25" s="1"/>
      <c r="D25" s="37"/>
      <c r="E25" s="49">
        <f>+'5.Prod 7-20 Unit Sales Forecast'!H314</f>
        <v>0</v>
      </c>
      <c r="F25" s="49">
        <f>+'5.Prod 7-20 Unit Sales Forecast'!I314</f>
        <v>0</v>
      </c>
      <c r="G25" s="49">
        <f>+'5.Prod 7-20 Unit Sales Forecast'!J314</f>
        <v>0</v>
      </c>
      <c r="H25" s="49">
        <f>+'5.Prod 7-20 Unit Sales Forecast'!K314</f>
        <v>0</v>
      </c>
      <c r="I25" s="49">
        <f>+'5.Prod 7-20 Unit Sales Forecast'!L314</f>
        <v>0</v>
      </c>
      <c r="J25" s="49">
        <f>+'5.Prod 7-20 Unit Sales Forecast'!M314</f>
        <v>0</v>
      </c>
      <c r="K25" s="49">
        <f>+'5.Prod 7-20 Unit Sales Forecast'!N314</f>
        <v>0</v>
      </c>
      <c r="L25" s="49">
        <f>+'5.Prod 7-20 Unit Sales Forecast'!O314</f>
        <v>0</v>
      </c>
      <c r="M25" s="49">
        <f>+'5.Prod 7-20 Unit Sales Forecast'!P314</f>
        <v>0</v>
      </c>
      <c r="N25" s="49">
        <f>+'5.Prod 7-20 Unit Sales Forecast'!Q314</f>
        <v>0</v>
      </c>
      <c r="O25" s="49">
        <f>+'5.Prod 7-20 Unit Sales Forecast'!R314</f>
        <v>0</v>
      </c>
      <c r="P25" s="49">
        <f>+'5.Prod 7-20 Unit Sales Forecast'!S314</f>
        <v>0</v>
      </c>
      <c r="Q25" s="49">
        <f t="shared" si="3"/>
        <v>0</v>
      </c>
    </row>
    <row r="26" spans="1:17" ht="12.75" customHeight="1">
      <c r="A26" s="1" t="s">
        <v>171</v>
      </c>
      <c r="B26" s="1"/>
      <c r="C26" s="1"/>
      <c r="D26" s="37"/>
      <c r="E26" s="45">
        <f>SUM(E19:E25)</f>
        <v>0</v>
      </c>
      <c r="F26" s="45">
        <f t="shared" ref="F26:Q26" si="4">SUM(F19:F25)</f>
        <v>0</v>
      </c>
      <c r="G26" s="45">
        <f t="shared" si="4"/>
        <v>0</v>
      </c>
      <c r="H26" s="45">
        <f t="shared" si="4"/>
        <v>0</v>
      </c>
      <c r="I26" s="45">
        <f t="shared" si="4"/>
        <v>0</v>
      </c>
      <c r="J26" s="45">
        <f t="shared" si="4"/>
        <v>0</v>
      </c>
      <c r="K26" s="45">
        <f t="shared" si="4"/>
        <v>0</v>
      </c>
      <c r="L26" s="45">
        <f t="shared" si="4"/>
        <v>0</v>
      </c>
      <c r="M26" s="45">
        <f t="shared" si="4"/>
        <v>0</v>
      </c>
      <c r="N26" s="45">
        <f t="shared" si="4"/>
        <v>0</v>
      </c>
      <c r="O26" s="45">
        <f t="shared" si="4"/>
        <v>0</v>
      </c>
      <c r="P26" s="45">
        <f t="shared" si="4"/>
        <v>0</v>
      </c>
      <c r="Q26" s="45">
        <f t="shared" si="4"/>
        <v>0</v>
      </c>
    </row>
    <row r="27" spans="1:17" ht="12.75" customHeight="1">
      <c r="A27" s="1"/>
      <c r="B27" s="1"/>
      <c r="C27" s="1"/>
      <c r="D27" s="37"/>
      <c r="E27" s="53"/>
      <c r="F27" s="53"/>
      <c r="G27" s="53"/>
      <c r="H27" s="53"/>
      <c r="I27" s="53"/>
      <c r="J27" s="53"/>
      <c r="K27" s="53"/>
      <c r="L27" s="53"/>
      <c r="M27" s="53"/>
      <c r="N27" s="53"/>
      <c r="O27" s="53"/>
      <c r="P27" s="53"/>
      <c r="Q27" s="53"/>
    </row>
    <row r="28" spans="1:17" ht="12.75" customHeight="1" thickBot="1">
      <c r="A28" s="1" t="s">
        <v>278</v>
      </c>
      <c r="B28" s="1"/>
      <c r="C28" s="1"/>
      <c r="D28" s="37"/>
      <c r="E28" s="89">
        <f>E16-E26</f>
        <v>0</v>
      </c>
      <c r="F28" s="89">
        <f t="shared" ref="F28:Q28" si="5">F16-F26</f>
        <v>0</v>
      </c>
      <c r="G28" s="89">
        <f t="shared" si="5"/>
        <v>0</v>
      </c>
      <c r="H28" s="89">
        <f t="shared" si="5"/>
        <v>0</v>
      </c>
      <c r="I28" s="89">
        <f t="shared" si="5"/>
        <v>0</v>
      </c>
      <c r="J28" s="89">
        <f t="shared" si="5"/>
        <v>0</v>
      </c>
      <c r="K28" s="89">
        <f t="shared" si="5"/>
        <v>0</v>
      </c>
      <c r="L28" s="89">
        <f t="shared" si="5"/>
        <v>0</v>
      </c>
      <c r="M28" s="89">
        <f t="shared" si="5"/>
        <v>0</v>
      </c>
      <c r="N28" s="89">
        <f t="shared" si="5"/>
        <v>0</v>
      </c>
      <c r="O28" s="89">
        <f t="shared" si="5"/>
        <v>0</v>
      </c>
      <c r="P28" s="89">
        <f t="shared" si="5"/>
        <v>0</v>
      </c>
      <c r="Q28" s="89">
        <f t="shared" si="5"/>
        <v>0</v>
      </c>
    </row>
    <row r="29" spans="1:17" ht="12.75" customHeight="1">
      <c r="A29" s="1"/>
      <c r="B29" s="1"/>
      <c r="C29" s="1"/>
      <c r="D29" s="37"/>
      <c r="E29" s="45"/>
      <c r="F29" s="45"/>
      <c r="G29" s="45"/>
      <c r="H29" s="45"/>
      <c r="I29" s="45"/>
      <c r="J29" s="45"/>
      <c r="K29" s="45"/>
      <c r="L29" s="45"/>
      <c r="M29" s="45"/>
      <c r="N29" s="45"/>
      <c r="O29" s="45"/>
      <c r="P29" s="45"/>
      <c r="Q29" s="45"/>
    </row>
    <row r="30" spans="1:17" ht="12.75" customHeight="1" outlineLevel="1">
      <c r="A30" s="1" t="str">
        <f>'2a. Salaries and Wages Summary'!A11</f>
        <v>Salaries and Wages</v>
      </c>
      <c r="B30" s="1"/>
      <c r="C30" s="1"/>
      <c r="D30" s="37"/>
      <c r="E30" s="45"/>
      <c r="F30" s="45"/>
      <c r="G30" s="45"/>
      <c r="H30" s="45"/>
      <c r="I30" s="45"/>
      <c r="J30" s="45"/>
      <c r="K30" s="45"/>
      <c r="L30" s="45"/>
      <c r="M30" s="45"/>
      <c r="N30" s="45"/>
      <c r="O30" s="45"/>
      <c r="P30" s="45"/>
      <c r="Q30" s="45"/>
    </row>
    <row r="31" spans="1:17" ht="12.75" customHeight="1" outlineLevel="1">
      <c r="A31" s="1"/>
      <c r="B31" s="1" t="str">
        <f>'2a. Salaries and Wages Summary'!B12</f>
        <v>Owner's Compensation</v>
      </c>
      <c r="C31" s="1"/>
      <c r="D31" s="37"/>
      <c r="E31" s="45">
        <f>+'2.  Salary and Wage Detail'!B55</f>
        <v>0</v>
      </c>
      <c r="F31" s="45">
        <f>+'2.  Salary and Wage Detail'!C55</f>
        <v>0</v>
      </c>
      <c r="G31" s="45">
        <f>+'2.  Salary and Wage Detail'!D55</f>
        <v>0</v>
      </c>
      <c r="H31" s="45">
        <f>+'2.  Salary and Wage Detail'!E55</f>
        <v>0</v>
      </c>
      <c r="I31" s="45">
        <f>+'2.  Salary and Wage Detail'!F55</f>
        <v>0</v>
      </c>
      <c r="J31" s="45">
        <f>+'2.  Salary and Wage Detail'!G55</f>
        <v>0</v>
      </c>
      <c r="K31" s="45">
        <f>+'2.  Salary and Wage Detail'!H55</f>
        <v>0</v>
      </c>
      <c r="L31" s="45">
        <f>+'2.  Salary and Wage Detail'!I55</f>
        <v>0</v>
      </c>
      <c r="M31" s="45">
        <f>+'2.  Salary and Wage Detail'!J55</f>
        <v>0</v>
      </c>
      <c r="N31" s="45">
        <f>+'2.  Salary and Wage Detail'!K55</f>
        <v>0</v>
      </c>
      <c r="O31" s="45">
        <f>+'2.  Salary and Wage Detail'!L55</f>
        <v>0</v>
      </c>
      <c r="P31" s="45">
        <f>+'2.  Salary and Wage Detail'!M55</f>
        <v>0</v>
      </c>
      <c r="Q31" s="45">
        <f t="shared" ref="Q31:Q36" si="6">SUM(E31:P31)</f>
        <v>0</v>
      </c>
    </row>
    <row r="32" spans="1:17" ht="12.75" customHeight="1" outlineLevel="1">
      <c r="A32" s="1"/>
      <c r="B32" s="1" t="str">
        <f>'2a. Salaries and Wages Summary'!B13</f>
        <v>Salaries</v>
      </c>
      <c r="C32" s="1"/>
      <c r="D32" s="37"/>
      <c r="E32" s="45">
        <f>+'2.  Salary and Wage Detail'!B66</f>
        <v>0</v>
      </c>
      <c r="F32" s="45">
        <f>+'2.  Salary and Wage Detail'!C66</f>
        <v>0</v>
      </c>
      <c r="G32" s="45">
        <f>+'2.  Salary and Wage Detail'!D66</f>
        <v>0</v>
      </c>
      <c r="H32" s="45">
        <f>+'2.  Salary and Wage Detail'!E66</f>
        <v>0</v>
      </c>
      <c r="I32" s="45">
        <f>+'2.  Salary and Wage Detail'!F66</f>
        <v>0</v>
      </c>
      <c r="J32" s="45">
        <f>+'2.  Salary and Wage Detail'!G66</f>
        <v>0</v>
      </c>
      <c r="K32" s="45">
        <f>+'2.  Salary and Wage Detail'!H66</f>
        <v>0</v>
      </c>
      <c r="L32" s="45">
        <f>+'2.  Salary and Wage Detail'!I66</f>
        <v>0</v>
      </c>
      <c r="M32" s="45">
        <f>+'2.  Salary and Wage Detail'!J66</f>
        <v>0</v>
      </c>
      <c r="N32" s="45">
        <f>+'2.  Salary and Wage Detail'!K66</f>
        <v>0</v>
      </c>
      <c r="O32" s="45">
        <f>+'2.  Salary and Wage Detail'!L66</f>
        <v>0</v>
      </c>
      <c r="P32" s="45">
        <f>+'2.  Salary and Wage Detail'!M66</f>
        <v>0</v>
      </c>
      <c r="Q32" s="45">
        <f t="shared" si="6"/>
        <v>0</v>
      </c>
    </row>
    <row r="33" spans="1:17" ht="12.75" customHeight="1" outlineLevel="1">
      <c r="A33" s="1"/>
      <c r="B33" s="1" t="str">
        <f>'2a. Salaries and Wages Summary'!C15</f>
        <v>Full-Time Employees</v>
      </c>
      <c r="C33" s="1"/>
      <c r="D33" s="37"/>
      <c r="E33" s="45">
        <f>+'2.  Salary and Wage Detail'!B85</f>
        <v>0</v>
      </c>
      <c r="F33" s="45">
        <f>+'2.  Salary and Wage Detail'!C85</f>
        <v>0</v>
      </c>
      <c r="G33" s="45">
        <f>+'2.  Salary and Wage Detail'!D85</f>
        <v>0</v>
      </c>
      <c r="H33" s="45">
        <f>+'2.  Salary and Wage Detail'!E85</f>
        <v>0</v>
      </c>
      <c r="I33" s="45">
        <f>+'2.  Salary and Wage Detail'!F85</f>
        <v>0</v>
      </c>
      <c r="J33" s="45">
        <f>+'2.  Salary and Wage Detail'!G85</f>
        <v>0</v>
      </c>
      <c r="K33" s="45">
        <f>+'2.  Salary and Wage Detail'!H85</f>
        <v>0</v>
      </c>
      <c r="L33" s="45">
        <f>+'2.  Salary and Wage Detail'!I85</f>
        <v>0</v>
      </c>
      <c r="M33" s="45">
        <f>+'2.  Salary and Wage Detail'!J85</f>
        <v>0</v>
      </c>
      <c r="N33" s="45">
        <f>+'2.  Salary and Wage Detail'!K85</f>
        <v>0</v>
      </c>
      <c r="O33" s="45">
        <f>+'2.  Salary and Wage Detail'!L85</f>
        <v>0</v>
      </c>
      <c r="P33" s="45">
        <f>+'2.  Salary and Wage Detail'!M85</f>
        <v>0</v>
      </c>
      <c r="Q33" s="45">
        <f t="shared" si="6"/>
        <v>0</v>
      </c>
    </row>
    <row r="34" spans="1:17" ht="12.75" customHeight="1" outlineLevel="1">
      <c r="A34" s="1"/>
      <c r="B34" s="1" t="str">
        <f>'2a. Salaries and Wages Summary'!C18</f>
        <v>Part-Time Employees</v>
      </c>
      <c r="C34" s="1"/>
      <c r="D34" s="37"/>
      <c r="E34" s="45">
        <f>+'2.  Salary and Wage Detail'!B97</f>
        <v>0</v>
      </c>
      <c r="F34" s="45">
        <f>+'2.  Salary and Wage Detail'!C97</f>
        <v>0</v>
      </c>
      <c r="G34" s="45">
        <f>+'2.  Salary and Wage Detail'!D97</f>
        <v>0</v>
      </c>
      <c r="H34" s="45">
        <f>+'2.  Salary and Wage Detail'!E97</f>
        <v>0</v>
      </c>
      <c r="I34" s="45">
        <f>+'2.  Salary and Wage Detail'!F97</f>
        <v>0</v>
      </c>
      <c r="J34" s="45">
        <f>+'2.  Salary and Wage Detail'!G97</f>
        <v>0</v>
      </c>
      <c r="K34" s="45">
        <f>+'2.  Salary and Wage Detail'!H97</f>
        <v>0</v>
      </c>
      <c r="L34" s="45">
        <f>+'2.  Salary and Wage Detail'!I97</f>
        <v>0</v>
      </c>
      <c r="M34" s="45">
        <f>+'2.  Salary and Wage Detail'!J97</f>
        <v>0</v>
      </c>
      <c r="N34" s="45">
        <f>+'2.  Salary and Wage Detail'!K97</f>
        <v>0</v>
      </c>
      <c r="O34" s="45">
        <f>+'2.  Salary and Wage Detail'!L97</f>
        <v>0</v>
      </c>
      <c r="P34" s="45">
        <f>+'2.  Salary and Wage Detail'!M97</f>
        <v>0</v>
      </c>
      <c r="Q34" s="45">
        <f t="shared" si="6"/>
        <v>0</v>
      </c>
    </row>
    <row r="35" spans="1:17" ht="12.75" customHeight="1" outlineLevel="1">
      <c r="A35" s="1"/>
      <c r="B35" s="1" t="str">
        <f>'2a. Salaries and Wages Summary'!B21</f>
        <v>Independent Contractors</v>
      </c>
      <c r="C35" s="1"/>
      <c r="D35" s="37"/>
      <c r="E35" s="45">
        <f>'2a. Salaries and Wages Summary'!M21</f>
        <v>0</v>
      </c>
      <c r="F35" s="45">
        <f t="shared" ref="F35:P35" si="7">E35</f>
        <v>0</v>
      </c>
      <c r="G35" s="45">
        <f t="shared" si="7"/>
        <v>0</v>
      </c>
      <c r="H35" s="45">
        <f t="shared" si="7"/>
        <v>0</v>
      </c>
      <c r="I35" s="45">
        <f t="shared" si="7"/>
        <v>0</v>
      </c>
      <c r="J35" s="45">
        <f t="shared" si="7"/>
        <v>0</v>
      </c>
      <c r="K35" s="45">
        <f t="shared" si="7"/>
        <v>0</v>
      </c>
      <c r="L35" s="45">
        <f t="shared" si="7"/>
        <v>0</v>
      </c>
      <c r="M35" s="45">
        <f t="shared" si="7"/>
        <v>0</v>
      </c>
      <c r="N35" s="45">
        <f t="shared" si="7"/>
        <v>0</v>
      </c>
      <c r="O35" s="45">
        <f t="shared" si="7"/>
        <v>0</v>
      </c>
      <c r="P35" s="45">
        <f t="shared" si="7"/>
        <v>0</v>
      </c>
      <c r="Q35" s="45">
        <f t="shared" si="6"/>
        <v>0</v>
      </c>
    </row>
    <row r="36" spans="1:17" ht="12.75" customHeight="1" outlineLevel="1" thickBot="1">
      <c r="A36" s="1"/>
      <c r="B36" s="1" t="str">
        <f>'2a. Salaries and Wages Summary'!A24</f>
        <v>Payroll Taxes and Benefits</v>
      </c>
      <c r="C36" s="1"/>
      <c r="D36" s="37"/>
      <c r="E36" s="49">
        <f>SUM(E31:E34)*'2a. Salaries and Wages Summary'!$I$33</f>
        <v>0</v>
      </c>
      <c r="F36" s="49">
        <f>SUM(F31:F34)*'2a. Salaries and Wages Summary'!$I$33</f>
        <v>0</v>
      </c>
      <c r="G36" s="49">
        <f>SUM(G31:G34)*'2a. Salaries and Wages Summary'!$I$33</f>
        <v>0</v>
      </c>
      <c r="H36" s="49">
        <f>SUM(H31:H34)*'2a. Salaries and Wages Summary'!$I$33</f>
        <v>0</v>
      </c>
      <c r="I36" s="49">
        <f>SUM(I31:I34)*'2a. Salaries and Wages Summary'!$I$33</f>
        <v>0</v>
      </c>
      <c r="J36" s="49">
        <f>SUM(J31:J34)*'2a. Salaries and Wages Summary'!$I$33</f>
        <v>0</v>
      </c>
      <c r="K36" s="49">
        <f>SUM(K31:K34)*'2a. Salaries and Wages Summary'!$I$33</f>
        <v>0</v>
      </c>
      <c r="L36" s="49">
        <f>SUM(L31:L34)*'2a. Salaries and Wages Summary'!$I$33</f>
        <v>0</v>
      </c>
      <c r="M36" s="49">
        <f>SUM(M31:M34)*'2a. Salaries and Wages Summary'!$I$33</f>
        <v>0</v>
      </c>
      <c r="N36" s="49">
        <f>SUM(N31:N34)*'2a. Salaries and Wages Summary'!$I$33</f>
        <v>0</v>
      </c>
      <c r="O36" s="49">
        <f>SUM(O31:O34)*'2a. Salaries and Wages Summary'!$I$33</f>
        <v>0</v>
      </c>
      <c r="P36" s="49">
        <f>SUM(P31:P34)*'2a. Salaries and Wages Summary'!$I$33</f>
        <v>0</v>
      </c>
      <c r="Q36" s="49">
        <f t="shared" si="6"/>
        <v>0</v>
      </c>
    </row>
    <row r="37" spans="1:17" ht="12.75" customHeight="1">
      <c r="A37" s="1" t="s">
        <v>174</v>
      </c>
      <c r="B37" s="1"/>
      <c r="C37" s="1"/>
      <c r="D37" s="37"/>
      <c r="E37" s="45">
        <f>SUM(E31:E36)</f>
        <v>0</v>
      </c>
      <c r="F37" s="45">
        <f t="shared" ref="F37:P37" si="8">SUM(F31:F36)</f>
        <v>0</v>
      </c>
      <c r="G37" s="45">
        <f t="shared" si="8"/>
        <v>0</v>
      </c>
      <c r="H37" s="45">
        <f t="shared" si="8"/>
        <v>0</v>
      </c>
      <c r="I37" s="45">
        <f t="shared" si="8"/>
        <v>0</v>
      </c>
      <c r="J37" s="45">
        <f t="shared" si="8"/>
        <v>0</v>
      </c>
      <c r="K37" s="45">
        <f t="shared" si="8"/>
        <v>0</v>
      </c>
      <c r="L37" s="45">
        <f t="shared" si="8"/>
        <v>0</v>
      </c>
      <c r="M37" s="45">
        <f t="shared" si="8"/>
        <v>0</v>
      </c>
      <c r="N37" s="45">
        <f t="shared" si="8"/>
        <v>0</v>
      </c>
      <c r="O37" s="45">
        <f t="shared" si="8"/>
        <v>0</v>
      </c>
      <c r="P37" s="45">
        <f t="shared" si="8"/>
        <v>0</v>
      </c>
      <c r="Q37" s="45">
        <f t="shared" ref="Q37" si="9">SUM(Q31:Q36)</f>
        <v>0</v>
      </c>
    </row>
    <row r="38" spans="1:17" ht="12.75" customHeight="1">
      <c r="A38" s="1"/>
      <c r="B38" s="1"/>
      <c r="C38" s="1"/>
      <c r="D38" s="37"/>
      <c r="E38" s="45"/>
      <c r="F38" s="45"/>
      <c r="G38" s="45"/>
      <c r="H38" s="45"/>
      <c r="I38" s="45"/>
      <c r="J38" s="45"/>
      <c r="K38" s="45"/>
      <c r="L38" s="45"/>
      <c r="M38" s="45"/>
      <c r="N38" s="45"/>
      <c r="O38" s="45"/>
      <c r="P38" s="45"/>
      <c r="Q38" s="45"/>
    </row>
    <row r="39" spans="1:17" ht="12.75" customHeight="1" outlineLevel="1">
      <c r="A39" s="1" t="s">
        <v>313</v>
      </c>
      <c r="B39" s="1"/>
      <c r="C39" s="1"/>
      <c r="D39" s="37"/>
      <c r="E39" s="45"/>
      <c r="F39" s="45"/>
      <c r="G39" s="45"/>
      <c r="H39" s="45"/>
      <c r="I39" s="45"/>
      <c r="J39" s="45"/>
      <c r="K39" s="45"/>
      <c r="L39" s="45"/>
      <c r="M39" s="45"/>
      <c r="N39" s="45"/>
      <c r="O39" s="45"/>
      <c r="P39" s="45"/>
      <c r="Q39" s="45"/>
    </row>
    <row r="40" spans="1:17" ht="12.75" customHeight="1" outlineLevel="1">
      <c r="A40" s="1"/>
      <c r="B40" s="1" t="str">
        <f>'3. Fixed Operating Expenses'!B11</f>
        <v>Advertising</v>
      </c>
      <c r="C40" s="1"/>
      <c r="D40" s="37"/>
      <c r="E40" s="45">
        <f>'3. Fixed Operating Expenses'!G11</f>
        <v>0</v>
      </c>
      <c r="F40" s="86">
        <f>E40</f>
        <v>0</v>
      </c>
      <c r="G40" s="86">
        <f t="shared" ref="G40:P40" si="10">F40</f>
        <v>0</v>
      </c>
      <c r="H40" s="86">
        <f t="shared" si="10"/>
        <v>0</v>
      </c>
      <c r="I40" s="86">
        <f t="shared" si="10"/>
        <v>0</v>
      </c>
      <c r="J40" s="86">
        <f t="shared" si="10"/>
        <v>0</v>
      </c>
      <c r="K40" s="86">
        <f t="shared" si="10"/>
        <v>0</v>
      </c>
      <c r="L40" s="86">
        <f t="shared" si="10"/>
        <v>0</v>
      </c>
      <c r="M40" s="86">
        <f t="shared" si="10"/>
        <v>0</v>
      </c>
      <c r="N40" s="86">
        <f t="shared" si="10"/>
        <v>0</v>
      </c>
      <c r="O40" s="86">
        <f t="shared" si="10"/>
        <v>0</v>
      </c>
      <c r="P40" s="86">
        <f t="shared" si="10"/>
        <v>0</v>
      </c>
      <c r="Q40" s="45">
        <f>SUM(E40:P40)</f>
        <v>0</v>
      </c>
    </row>
    <row r="41" spans="1:17" ht="12.75" customHeight="1" outlineLevel="1">
      <c r="A41" s="1"/>
      <c r="B41" s="1" t="str">
        <f>'3. Fixed Operating Expenses'!B12</f>
        <v>Car and Truck Expenses</v>
      </c>
      <c r="C41" s="1"/>
      <c r="D41" s="37"/>
      <c r="E41" s="45">
        <f>'3. Fixed Operating Expenses'!G12</f>
        <v>0</v>
      </c>
      <c r="F41" s="86">
        <f t="shared" ref="F41:P59" si="11">E41</f>
        <v>0</v>
      </c>
      <c r="G41" s="86">
        <f t="shared" si="11"/>
        <v>0</v>
      </c>
      <c r="H41" s="86">
        <f t="shared" si="11"/>
        <v>0</v>
      </c>
      <c r="I41" s="86">
        <f t="shared" si="11"/>
        <v>0</v>
      </c>
      <c r="J41" s="86">
        <f t="shared" si="11"/>
        <v>0</v>
      </c>
      <c r="K41" s="86">
        <f t="shared" si="11"/>
        <v>0</v>
      </c>
      <c r="L41" s="86">
        <f t="shared" si="11"/>
        <v>0</v>
      </c>
      <c r="M41" s="86">
        <f t="shared" si="11"/>
        <v>0</v>
      </c>
      <c r="N41" s="86">
        <f t="shared" si="11"/>
        <v>0</v>
      </c>
      <c r="O41" s="86">
        <f t="shared" si="11"/>
        <v>0</v>
      </c>
      <c r="P41" s="86">
        <f t="shared" si="11"/>
        <v>0</v>
      </c>
      <c r="Q41" s="45">
        <f t="shared" ref="Q41:Q59" si="12">SUM(E41:P41)</f>
        <v>0</v>
      </c>
    </row>
    <row r="42" spans="1:17" ht="12.75" customHeight="1" outlineLevel="1">
      <c r="A42" s="1"/>
      <c r="B42" s="1" t="str">
        <f>'3. Fixed Operating Expenses'!B13</f>
        <v>Bank &amp; Merchant Fees</v>
      </c>
      <c r="C42" s="1"/>
      <c r="D42" s="37"/>
      <c r="E42" s="45">
        <f>'3. Fixed Operating Expenses'!G13</f>
        <v>0</v>
      </c>
      <c r="F42" s="86">
        <f t="shared" si="11"/>
        <v>0</v>
      </c>
      <c r="G42" s="86">
        <f t="shared" si="11"/>
        <v>0</v>
      </c>
      <c r="H42" s="86">
        <f t="shared" si="11"/>
        <v>0</v>
      </c>
      <c r="I42" s="86">
        <f t="shared" si="11"/>
        <v>0</v>
      </c>
      <c r="J42" s="86">
        <f t="shared" si="11"/>
        <v>0</v>
      </c>
      <c r="K42" s="86">
        <f t="shared" si="11"/>
        <v>0</v>
      </c>
      <c r="L42" s="86">
        <f t="shared" si="11"/>
        <v>0</v>
      </c>
      <c r="M42" s="86">
        <f t="shared" si="11"/>
        <v>0</v>
      </c>
      <c r="N42" s="86">
        <f t="shared" si="11"/>
        <v>0</v>
      </c>
      <c r="O42" s="86">
        <f t="shared" si="11"/>
        <v>0</v>
      </c>
      <c r="P42" s="86">
        <f t="shared" si="11"/>
        <v>0</v>
      </c>
      <c r="Q42" s="45">
        <f t="shared" si="12"/>
        <v>0</v>
      </c>
    </row>
    <row r="43" spans="1:17" ht="12.75" customHeight="1" outlineLevel="1">
      <c r="A43" s="1"/>
      <c r="B43" s="1" t="str">
        <f>'3. Fixed Operating Expenses'!B14</f>
        <v>Contract Labor</v>
      </c>
      <c r="C43" s="1"/>
      <c r="D43" s="37"/>
      <c r="E43" s="45">
        <f>'3. Fixed Operating Expenses'!G14</f>
        <v>0</v>
      </c>
      <c r="F43" s="86">
        <f t="shared" si="11"/>
        <v>0</v>
      </c>
      <c r="G43" s="86">
        <f t="shared" si="11"/>
        <v>0</v>
      </c>
      <c r="H43" s="86">
        <f t="shared" si="11"/>
        <v>0</v>
      </c>
      <c r="I43" s="86">
        <f t="shared" si="11"/>
        <v>0</v>
      </c>
      <c r="J43" s="86">
        <f t="shared" si="11"/>
        <v>0</v>
      </c>
      <c r="K43" s="86">
        <f t="shared" si="11"/>
        <v>0</v>
      </c>
      <c r="L43" s="86">
        <f t="shared" si="11"/>
        <v>0</v>
      </c>
      <c r="M43" s="86">
        <f t="shared" si="11"/>
        <v>0</v>
      </c>
      <c r="N43" s="86">
        <f t="shared" si="11"/>
        <v>0</v>
      </c>
      <c r="O43" s="86">
        <f t="shared" si="11"/>
        <v>0</v>
      </c>
      <c r="P43" s="86">
        <f t="shared" si="11"/>
        <v>0</v>
      </c>
      <c r="Q43" s="45">
        <f t="shared" si="12"/>
        <v>0</v>
      </c>
    </row>
    <row r="44" spans="1:17" ht="12.75" customHeight="1" outlineLevel="1">
      <c r="A44" s="1"/>
      <c r="B44" s="1" t="str">
        <f>'3. Fixed Operating Expenses'!B15</f>
        <v>Conferences &amp; Seminars</v>
      </c>
      <c r="C44" s="1"/>
      <c r="D44" s="37"/>
      <c r="E44" s="45">
        <f>'3. Fixed Operating Expenses'!G15</f>
        <v>0</v>
      </c>
      <c r="F44" s="86">
        <f t="shared" si="11"/>
        <v>0</v>
      </c>
      <c r="G44" s="86">
        <f t="shared" si="11"/>
        <v>0</v>
      </c>
      <c r="H44" s="86">
        <f t="shared" si="11"/>
        <v>0</v>
      </c>
      <c r="I44" s="86">
        <f t="shared" si="11"/>
        <v>0</v>
      </c>
      <c r="J44" s="86">
        <f t="shared" si="11"/>
        <v>0</v>
      </c>
      <c r="K44" s="86">
        <f t="shared" si="11"/>
        <v>0</v>
      </c>
      <c r="L44" s="86">
        <f t="shared" si="11"/>
        <v>0</v>
      </c>
      <c r="M44" s="86">
        <f t="shared" si="11"/>
        <v>0</v>
      </c>
      <c r="N44" s="86">
        <f t="shared" si="11"/>
        <v>0</v>
      </c>
      <c r="O44" s="86">
        <f t="shared" si="11"/>
        <v>0</v>
      </c>
      <c r="P44" s="86">
        <f t="shared" si="11"/>
        <v>0</v>
      </c>
      <c r="Q44" s="45">
        <f t="shared" si="12"/>
        <v>0</v>
      </c>
    </row>
    <row r="45" spans="1:17" ht="12.75" customHeight="1" outlineLevel="1">
      <c r="A45" s="1"/>
      <c r="B45" s="1" t="str">
        <f>'3. Fixed Operating Expenses'!B16</f>
        <v>Customer Discounts and Refunds</v>
      </c>
      <c r="C45" s="1"/>
      <c r="D45" s="37"/>
      <c r="E45" s="45">
        <f>'3. Fixed Operating Expenses'!G16</f>
        <v>0</v>
      </c>
      <c r="F45" s="86">
        <f t="shared" si="11"/>
        <v>0</v>
      </c>
      <c r="G45" s="86">
        <f t="shared" si="11"/>
        <v>0</v>
      </c>
      <c r="H45" s="86">
        <f t="shared" si="11"/>
        <v>0</v>
      </c>
      <c r="I45" s="86">
        <f t="shared" si="11"/>
        <v>0</v>
      </c>
      <c r="J45" s="86">
        <f t="shared" si="11"/>
        <v>0</v>
      </c>
      <c r="K45" s="86">
        <f t="shared" si="11"/>
        <v>0</v>
      </c>
      <c r="L45" s="86">
        <f t="shared" si="11"/>
        <v>0</v>
      </c>
      <c r="M45" s="86">
        <f t="shared" si="11"/>
        <v>0</v>
      </c>
      <c r="N45" s="86">
        <f t="shared" si="11"/>
        <v>0</v>
      </c>
      <c r="O45" s="86">
        <f t="shared" si="11"/>
        <v>0</v>
      </c>
      <c r="P45" s="86">
        <f t="shared" si="11"/>
        <v>0</v>
      </c>
      <c r="Q45" s="45">
        <f t="shared" si="12"/>
        <v>0</v>
      </c>
    </row>
    <row r="46" spans="1:17" ht="12.75" customHeight="1" outlineLevel="1">
      <c r="A46" s="1"/>
      <c r="B46" s="1" t="str">
        <f>'3. Fixed Operating Expenses'!B17</f>
        <v>Dues and Subscriptions</v>
      </c>
      <c r="C46" s="1"/>
      <c r="D46" s="37"/>
      <c r="E46" s="45">
        <f>'3. Fixed Operating Expenses'!G17</f>
        <v>0</v>
      </c>
      <c r="F46" s="86">
        <f t="shared" si="11"/>
        <v>0</v>
      </c>
      <c r="G46" s="86">
        <f t="shared" si="11"/>
        <v>0</v>
      </c>
      <c r="H46" s="86">
        <f t="shared" si="11"/>
        <v>0</v>
      </c>
      <c r="I46" s="86">
        <f t="shared" si="11"/>
        <v>0</v>
      </c>
      <c r="J46" s="86">
        <f t="shared" si="11"/>
        <v>0</v>
      </c>
      <c r="K46" s="86">
        <f t="shared" si="11"/>
        <v>0</v>
      </c>
      <c r="L46" s="86">
        <f t="shared" si="11"/>
        <v>0</v>
      </c>
      <c r="M46" s="86">
        <f t="shared" si="11"/>
        <v>0</v>
      </c>
      <c r="N46" s="86">
        <f t="shared" si="11"/>
        <v>0</v>
      </c>
      <c r="O46" s="86">
        <f t="shared" si="11"/>
        <v>0</v>
      </c>
      <c r="P46" s="86">
        <f t="shared" si="11"/>
        <v>0</v>
      </c>
      <c r="Q46" s="45">
        <f t="shared" si="12"/>
        <v>0</v>
      </c>
    </row>
    <row r="47" spans="1:17" ht="12.75" customHeight="1" outlineLevel="1">
      <c r="A47" s="1"/>
      <c r="B47" s="1" t="str">
        <f>'3. Fixed Operating Expenses'!B18</f>
        <v>Miscellaneous</v>
      </c>
      <c r="C47" s="1"/>
      <c r="D47" s="37"/>
      <c r="E47" s="45">
        <f>'3. Fixed Operating Expenses'!G18</f>
        <v>0</v>
      </c>
      <c r="F47" s="86">
        <f t="shared" si="11"/>
        <v>0</v>
      </c>
      <c r="G47" s="86">
        <f t="shared" si="11"/>
        <v>0</v>
      </c>
      <c r="H47" s="86">
        <f t="shared" si="11"/>
        <v>0</v>
      </c>
      <c r="I47" s="86">
        <f t="shared" si="11"/>
        <v>0</v>
      </c>
      <c r="J47" s="86">
        <f t="shared" si="11"/>
        <v>0</v>
      </c>
      <c r="K47" s="86">
        <f t="shared" si="11"/>
        <v>0</v>
      </c>
      <c r="L47" s="86">
        <f t="shared" si="11"/>
        <v>0</v>
      </c>
      <c r="M47" s="86">
        <f t="shared" si="11"/>
        <v>0</v>
      </c>
      <c r="N47" s="86">
        <f t="shared" si="11"/>
        <v>0</v>
      </c>
      <c r="O47" s="86">
        <f t="shared" si="11"/>
        <v>0</v>
      </c>
      <c r="P47" s="86">
        <f t="shared" si="11"/>
        <v>0</v>
      </c>
      <c r="Q47" s="45">
        <f t="shared" si="12"/>
        <v>0</v>
      </c>
    </row>
    <row r="48" spans="1:17" ht="12.75" customHeight="1" outlineLevel="1">
      <c r="A48" s="1"/>
      <c r="B48" s="1" t="str">
        <f>'3. Fixed Operating Expenses'!B19</f>
        <v>Insurance (Liability and Property)</v>
      </c>
      <c r="C48" s="1"/>
      <c r="D48" s="37"/>
      <c r="E48" s="45">
        <f>'3. Fixed Operating Expenses'!G19</f>
        <v>0</v>
      </c>
      <c r="F48" s="86">
        <f t="shared" si="11"/>
        <v>0</v>
      </c>
      <c r="G48" s="86">
        <f t="shared" si="11"/>
        <v>0</v>
      </c>
      <c r="H48" s="86">
        <f t="shared" si="11"/>
        <v>0</v>
      </c>
      <c r="I48" s="86">
        <f t="shared" si="11"/>
        <v>0</v>
      </c>
      <c r="J48" s="86">
        <f t="shared" si="11"/>
        <v>0</v>
      </c>
      <c r="K48" s="86">
        <f t="shared" si="11"/>
        <v>0</v>
      </c>
      <c r="L48" s="86">
        <f t="shared" si="11"/>
        <v>0</v>
      </c>
      <c r="M48" s="86">
        <f t="shared" si="11"/>
        <v>0</v>
      </c>
      <c r="N48" s="86">
        <f t="shared" si="11"/>
        <v>0</v>
      </c>
      <c r="O48" s="86">
        <f t="shared" si="11"/>
        <v>0</v>
      </c>
      <c r="P48" s="86">
        <f t="shared" si="11"/>
        <v>0</v>
      </c>
      <c r="Q48" s="45">
        <f t="shared" si="12"/>
        <v>0</v>
      </c>
    </row>
    <row r="49" spans="1:17" ht="12.75" customHeight="1" outlineLevel="1">
      <c r="A49" s="1"/>
      <c r="B49" s="1" t="str">
        <f>'3. Fixed Operating Expenses'!B20</f>
        <v>Licenses/Fees/Permits</v>
      </c>
      <c r="C49" s="1"/>
      <c r="D49" s="37"/>
      <c r="E49" s="45">
        <f>'3. Fixed Operating Expenses'!G20</f>
        <v>0</v>
      </c>
      <c r="F49" s="86">
        <f t="shared" si="11"/>
        <v>0</v>
      </c>
      <c r="G49" s="86">
        <f t="shared" si="11"/>
        <v>0</v>
      </c>
      <c r="H49" s="86">
        <f t="shared" si="11"/>
        <v>0</v>
      </c>
      <c r="I49" s="86">
        <f t="shared" si="11"/>
        <v>0</v>
      </c>
      <c r="J49" s="86">
        <f t="shared" si="11"/>
        <v>0</v>
      </c>
      <c r="K49" s="86">
        <f t="shared" si="11"/>
        <v>0</v>
      </c>
      <c r="L49" s="86">
        <f t="shared" si="11"/>
        <v>0</v>
      </c>
      <c r="M49" s="86">
        <f t="shared" si="11"/>
        <v>0</v>
      </c>
      <c r="N49" s="86">
        <f t="shared" si="11"/>
        <v>0</v>
      </c>
      <c r="O49" s="86">
        <f t="shared" si="11"/>
        <v>0</v>
      </c>
      <c r="P49" s="86">
        <f t="shared" si="11"/>
        <v>0</v>
      </c>
      <c r="Q49" s="45">
        <f t="shared" si="12"/>
        <v>0</v>
      </c>
    </row>
    <row r="50" spans="1:17" ht="12.75" customHeight="1" outlineLevel="1">
      <c r="A50" s="1"/>
      <c r="B50" s="1" t="str">
        <f>'3. Fixed Operating Expenses'!B21</f>
        <v>Legal and Professional Fees</v>
      </c>
      <c r="C50" s="1"/>
      <c r="D50" s="37"/>
      <c r="E50" s="45">
        <f>'3. Fixed Operating Expenses'!G21</f>
        <v>0</v>
      </c>
      <c r="F50" s="86">
        <f t="shared" si="11"/>
        <v>0</v>
      </c>
      <c r="G50" s="86">
        <f t="shared" si="11"/>
        <v>0</v>
      </c>
      <c r="H50" s="86">
        <f t="shared" si="11"/>
        <v>0</v>
      </c>
      <c r="I50" s="86">
        <f t="shared" si="11"/>
        <v>0</v>
      </c>
      <c r="J50" s="86">
        <f t="shared" si="11"/>
        <v>0</v>
      </c>
      <c r="K50" s="86">
        <f t="shared" si="11"/>
        <v>0</v>
      </c>
      <c r="L50" s="86">
        <f t="shared" si="11"/>
        <v>0</v>
      </c>
      <c r="M50" s="86">
        <f t="shared" si="11"/>
        <v>0</v>
      </c>
      <c r="N50" s="86">
        <f t="shared" si="11"/>
        <v>0</v>
      </c>
      <c r="O50" s="86">
        <f t="shared" si="11"/>
        <v>0</v>
      </c>
      <c r="P50" s="86">
        <f t="shared" si="11"/>
        <v>0</v>
      </c>
      <c r="Q50" s="45">
        <f t="shared" si="12"/>
        <v>0</v>
      </c>
    </row>
    <row r="51" spans="1:17" ht="12.75" customHeight="1" outlineLevel="1">
      <c r="A51" s="1"/>
      <c r="B51" s="1" t="str">
        <f>'3. Fixed Operating Expenses'!B22</f>
        <v>Office Expenses &amp; Supplies</v>
      </c>
      <c r="C51" s="1"/>
      <c r="D51" s="37"/>
      <c r="E51" s="45">
        <f>'3. Fixed Operating Expenses'!G22</f>
        <v>0</v>
      </c>
      <c r="F51" s="86">
        <f t="shared" si="11"/>
        <v>0</v>
      </c>
      <c r="G51" s="86">
        <f t="shared" si="11"/>
        <v>0</v>
      </c>
      <c r="H51" s="86">
        <f t="shared" si="11"/>
        <v>0</v>
      </c>
      <c r="I51" s="86">
        <f t="shared" si="11"/>
        <v>0</v>
      </c>
      <c r="J51" s="86">
        <f t="shared" si="11"/>
        <v>0</v>
      </c>
      <c r="K51" s="86">
        <f t="shared" si="11"/>
        <v>0</v>
      </c>
      <c r="L51" s="86">
        <f t="shared" si="11"/>
        <v>0</v>
      </c>
      <c r="M51" s="86">
        <f t="shared" si="11"/>
        <v>0</v>
      </c>
      <c r="N51" s="86">
        <f t="shared" si="11"/>
        <v>0</v>
      </c>
      <c r="O51" s="86">
        <f t="shared" si="11"/>
        <v>0</v>
      </c>
      <c r="P51" s="86">
        <f t="shared" si="11"/>
        <v>0</v>
      </c>
      <c r="Q51" s="45">
        <f t="shared" si="12"/>
        <v>0</v>
      </c>
    </row>
    <row r="52" spans="1:17" ht="12.75" customHeight="1" outlineLevel="1">
      <c r="A52" s="1"/>
      <c r="B52" s="1" t="str">
        <f>'3. Fixed Operating Expenses'!B23</f>
        <v>Postage and Delivery</v>
      </c>
      <c r="C52" s="1"/>
      <c r="D52" s="37"/>
      <c r="E52" s="45">
        <f>'3. Fixed Operating Expenses'!G23</f>
        <v>0</v>
      </c>
      <c r="F52" s="86">
        <f t="shared" si="11"/>
        <v>0</v>
      </c>
      <c r="G52" s="86">
        <f t="shared" si="11"/>
        <v>0</v>
      </c>
      <c r="H52" s="86">
        <f t="shared" si="11"/>
        <v>0</v>
      </c>
      <c r="I52" s="86">
        <f t="shared" si="11"/>
        <v>0</v>
      </c>
      <c r="J52" s="86">
        <f t="shared" si="11"/>
        <v>0</v>
      </c>
      <c r="K52" s="86">
        <f t="shared" si="11"/>
        <v>0</v>
      </c>
      <c r="L52" s="86">
        <f t="shared" si="11"/>
        <v>0</v>
      </c>
      <c r="M52" s="86">
        <f t="shared" si="11"/>
        <v>0</v>
      </c>
      <c r="N52" s="86">
        <f t="shared" si="11"/>
        <v>0</v>
      </c>
      <c r="O52" s="86">
        <f t="shared" si="11"/>
        <v>0</v>
      </c>
      <c r="P52" s="86">
        <f t="shared" si="11"/>
        <v>0</v>
      </c>
      <c r="Q52" s="45">
        <f t="shared" si="12"/>
        <v>0</v>
      </c>
    </row>
    <row r="53" spans="1:17" ht="12.75" customHeight="1" outlineLevel="1">
      <c r="A53" s="1"/>
      <c r="B53" s="1" t="str">
        <f>'3. Fixed Operating Expenses'!B24</f>
        <v>Rent (on business property)</v>
      </c>
      <c r="C53" s="1"/>
      <c r="D53" s="37"/>
      <c r="E53" s="45">
        <f>'3. Fixed Operating Expenses'!G24</f>
        <v>0</v>
      </c>
      <c r="F53" s="86">
        <f t="shared" si="11"/>
        <v>0</v>
      </c>
      <c r="G53" s="86">
        <f t="shared" si="11"/>
        <v>0</v>
      </c>
      <c r="H53" s="86">
        <f t="shared" si="11"/>
        <v>0</v>
      </c>
      <c r="I53" s="86">
        <f t="shared" si="11"/>
        <v>0</v>
      </c>
      <c r="J53" s="86">
        <f t="shared" si="11"/>
        <v>0</v>
      </c>
      <c r="K53" s="86">
        <f t="shared" si="11"/>
        <v>0</v>
      </c>
      <c r="L53" s="86">
        <f t="shared" si="11"/>
        <v>0</v>
      </c>
      <c r="M53" s="86">
        <f t="shared" si="11"/>
        <v>0</v>
      </c>
      <c r="N53" s="86">
        <f t="shared" si="11"/>
        <v>0</v>
      </c>
      <c r="O53" s="86">
        <f t="shared" si="11"/>
        <v>0</v>
      </c>
      <c r="P53" s="86">
        <f t="shared" si="11"/>
        <v>0</v>
      </c>
      <c r="Q53" s="45">
        <f t="shared" si="12"/>
        <v>0</v>
      </c>
    </row>
    <row r="54" spans="1:17" ht="12.75" customHeight="1" outlineLevel="1">
      <c r="A54" s="1"/>
      <c r="B54" s="1" t="str">
        <f>'3. Fixed Operating Expenses'!B25</f>
        <v>Rent of Vehicles and Equipment</v>
      </c>
      <c r="C54" s="1"/>
      <c r="D54" s="37"/>
      <c r="E54" s="45">
        <f>'3. Fixed Operating Expenses'!G25</f>
        <v>0</v>
      </c>
      <c r="F54" s="86">
        <f t="shared" si="11"/>
        <v>0</v>
      </c>
      <c r="G54" s="86">
        <f t="shared" si="11"/>
        <v>0</v>
      </c>
      <c r="H54" s="86">
        <f t="shared" si="11"/>
        <v>0</v>
      </c>
      <c r="I54" s="86">
        <f t="shared" si="11"/>
        <v>0</v>
      </c>
      <c r="J54" s="86">
        <f t="shared" si="11"/>
        <v>0</v>
      </c>
      <c r="K54" s="86">
        <f t="shared" si="11"/>
        <v>0</v>
      </c>
      <c r="L54" s="86">
        <f t="shared" si="11"/>
        <v>0</v>
      </c>
      <c r="M54" s="86">
        <f t="shared" si="11"/>
        <v>0</v>
      </c>
      <c r="N54" s="86">
        <f t="shared" si="11"/>
        <v>0</v>
      </c>
      <c r="O54" s="86">
        <f t="shared" si="11"/>
        <v>0</v>
      </c>
      <c r="P54" s="86">
        <f t="shared" si="11"/>
        <v>0</v>
      </c>
      <c r="Q54" s="45">
        <f t="shared" si="12"/>
        <v>0</v>
      </c>
    </row>
    <row r="55" spans="1:17" ht="12.75" customHeight="1" outlineLevel="1">
      <c r="A55" s="1"/>
      <c r="B55" s="1" t="str">
        <f>'3. Fixed Operating Expenses'!B26</f>
        <v>Sales &amp; Marketing</v>
      </c>
      <c r="C55" s="1"/>
      <c r="D55" s="37"/>
      <c r="E55" s="45">
        <f>'3. Fixed Operating Expenses'!G26</f>
        <v>0</v>
      </c>
      <c r="F55" s="86">
        <f t="shared" si="11"/>
        <v>0</v>
      </c>
      <c r="G55" s="86">
        <f t="shared" si="11"/>
        <v>0</v>
      </c>
      <c r="H55" s="86">
        <f t="shared" si="11"/>
        <v>0</v>
      </c>
      <c r="I55" s="86">
        <f t="shared" si="11"/>
        <v>0</v>
      </c>
      <c r="J55" s="86">
        <f t="shared" si="11"/>
        <v>0</v>
      </c>
      <c r="K55" s="86">
        <f t="shared" si="11"/>
        <v>0</v>
      </c>
      <c r="L55" s="86">
        <f t="shared" si="11"/>
        <v>0</v>
      </c>
      <c r="M55" s="86">
        <f t="shared" si="11"/>
        <v>0</v>
      </c>
      <c r="N55" s="86">
        <f t="shared" si="11"/>
        <v>0</v>
      </c>
      <c r="O55" s="86">
        <f t="shared" si="11"/>
        <v>0</v>
      </c>
      <c r="P55" s="86">
        <f t="shared" si="11"/>
        <v>0</v>
      </c>
      <c r="Q55" s="45">
        <f t="shared" si="12"/>
        <v>0</v>
      </c>
    </row>
    <row r="56" spans="1:17" ht="12.75" customHeight="1" outlineLevel="1">
      <c r="A56" s="1"/>
      <c r="B56" s="1" t="str">
        <f>'3. Fixed Operating Expenses'!B27</f>
        <v>Taxes-Other</v>
      </c>
      <c r="C56" s="1"/>
      <c r="D56" s="37"/>
      <c r="E56" s="45">
        <f>'3. Fixed Operating Expenses'!G27</f>
        <v>0</v>
      </c>
      <c r="F56" s="86">
        <f t="shared" si="11"/>
        <v>0</v>
      </c>
      <c r="G56" s="86">
        <f t="shared" si="11"/>
        <v>0</v>
      </c>
      <c r="H56" s="86">
        <f t="shared" si="11"/>
        <v>0</v>
      </c>
      <c r="I56" s="86">
        <f t="shared" si="11"/>
        <v>0</v>
      </c>
      <c r="J56" s="86">
        <f t="shared" si="11"/>
        <v>0</v>
      </c>
      <c r="K56" s="86">
        <f t="shared" si="11"/>
        <v>0</v>
      </c>
      <c r="L56" s="86">
        <f t="shared" si="11"/>
        <v>0</v>
      </c>
      <c r="M56" s="86">
        <f t="shared" si="11"/>
        <v>0</v>
      </c>
      <c r="N56" s="86">
        <f t="shared" si="11"/>
        <v>0</v>
      </c>
      <c r="O56" s="86">
        <f t="shared" si="11"/>
        <v>0</v>
      </c>
      <c r="P56" s="86">
        <f t="shared" si="11"/>
        <v>0</v>
      </c>
      <c r="Q56" s="45">
        <f t="shared" si="12"/>
        <v>0</v>
      </c>
    </row>
    <row r="57" spans="1:17" ht="12.75" customHeight="1" outlineLevel="1">
      <c r="A57" s="1"/>
      <c r="B57" s="1" t="str">
        <f>'3. Fixed Operating Expenses'!B28</f>
        <v>Telephone and Communications</v>
      </c>
      <c r="C57" s="1"/>
      <c r="D57" s="37"/>
      <c r="E57" s="45">
        <f>'3. Fixed Operating Expenses'!G28</f>
        <v>0</v>
      </c>
      <c r="F57" s="86">
        <f t="shared" si="11"/>
        <v>0</v>
      </c>
      <c r="G57" s="86">
        <f t="shared" si="11"/>
        <v>0</v>
      </c>
      <c r="H57" s="86">
        <f t="shared" si="11"/>
        <v>0</v>
      </c>
      <c r="I57" s="86">
        <f t="shared" si="11"/>
        <v>0</v>
      </c>
      <c r="J57" s="86">
        <f t="shared" si="11"/>
        <v>0</v>
      </c>
      <c r="K57" s="86">
        <f t="shared" si="11"/>
        <v>0</v>
      </c>
      <c r="L57" s="86">
        <f t="shared" si="11"/>
        <v>0</v>
      </c>
      <c r="M57" s="86">
        <f t="shared" si="11"/>
        <v>0</v>
      </c>
      <c r="N57" s="86">
        <f t="shared" si="11"/>
        <v>0</v>
      </c>
      <c r="O57" s="86">
        <f t="shared" si="11"/>
        <v>0</v>
      </c>
      <c r="P57" s="86">
        <f t="shared" si="11"/>
        <v>0</v>
      </c>
      <c r="Q57" s="45">
        <f t="shared" si="12"/>
        <v>0</v>
      </c>
    </row>
    <row r="58" spans="1:17" ht="12.75" customHeight="1" outlineLevel="1">
      <c r="A58" s="1"/>
      <c r="B58" s="1" t="str">
        <f>'3. Fixed Operating Expenses'!B29</f>
        <v>Travel</v>
      </c>
      <c r="C58" s="1"/>
      <c r="D58" s="37"/>
      <c r="E58" s="45">
        <f>'3. Fixed Operating Expenses'!G29</f>
        <v>0</v>
      </c>
      <c r="F58" s="86">
        <f t="shared" si="11"/>
        <v>0</v>
      </c>
      <c r="G58" s="86">
        <f t="shared" si="11"/>
        <v>0</v>
      </c>
      <c r="H58" s="86">
        <f t="shared" si="11"/>
        <v>0</v>
      </c>
      <c r="I58" s="86">
        <f t="shared" si="11"/>
        <v>0</v>
      </c>
      <c r="J58" s="86">
        <f t="shared" si="11"/>
        <v>0</v>
      </c>
      <c r="K58" s="86">
        <f t="shared" si="11"/>
        <v>0</v>
      </c>
      <c r="L58" s="86">
        <f t="shared" si="11"/>
        <v>0</v>
      </c>
      <c r="M58" s="86">
        <f t="shared" si="11"/>
        <v>0</v>
      </c>
      <c r="N58" s="86">
        <f t="shared" si="11"/>
        <v>0</v>
      </c>
      <c r="O58" s="86">
        <f t="shared" si="11"/>
        <v>0</v>
      </c>
      <c r="P58" s="86">
        <f t="shared" si="11"/>
        <v>0</v>
      </c>
      <c r="Q58" s="45">
        <f t="shared" si="12"/>
        <v>0</v>
      </c>
    </row>
    <row r="59" spans="1:17" ht="12.75" customHeight="1" outlineLevel="1" thickBot="1">
      <c r="A59" s="1"/>
      <c r="B59" s="1" t="str">
        <f>'3. Fixed Operating Expenses'!B30</f>
        <v>Utilities</v>
      </c>
      <c r="C59" s="1"/>
      <c r="D59" s="37"/>
      <c r="E59" s="49">
        <f>'3. Fixed Operating Expenses'!G30</f>
        <v>0</v>
      </c>
      <c r="F59" s="49">
        <f t="shared" si="11"/>
        <v>0</v>
      </c>
      <c r="G59" s="49">
        <f t="shared" si="11"/>
        <v>0</v>
      </c>
      <c r="H59" s="49">
        <f t="shared" si="11"/>
        <v>0</v>
      </c>
      <c r="I59" s="49">
        <f t="shared" si="11"/>
        <v>0</v>
      </c>
      <c r="J59" s="49">
        <f t="shared" si="11"/>
        <v>0</v>
      </c>
      <c r="K59" s="49">
        <f t="shared" si="11"/>
        <v>0</v>
      </c>
      <c r="L59" s="49">
        <f t="shared" si="11"/>
        <v>0</v>
      </c>
      <c r="M59" s="49">
        <f t="shared" si="11"/>
        <v>0</v>
      </c>
      <c r="N59" s="49">
        <f t="shared" si="11"/>
        <v>0</v>
      </c>
      <c r="O59" s="49">
        <f t="shared" si="11"/>
        <v>0</v>
      </c>
      <c r="P59" s="49">
        <f t="shared" si="11"/>
        <v>0</v>
      </c>
      <c r="Q59" s="49">
        <f t="shared" si="12"/>
        <v>0</v>
      </c>
    </row>
    <row r="60" spans="1:17" ht="12.75" customHeight="1" thickBot="1">
      <c r="A60" s="1" t="s">
        <v>386</v>
      </c>
      <c r="B60" s="1"/>
      <c r="C60" s="1"/>
      <c r="D60" s="37"/>
      <c r="E60" s="57">
        <f>SUM(E40:E59)</f>
        <v>0</v>
      </c>
      <c r="F60" s="57">
        <f t="shared" ref="F60:Q60" si="13">SUM(F40:F59)</f>
        <v>0</v>
      </c>
      <c r="G60" s="57">
        <f t="shared" si="13"/>
        <v>0</v>
      </c>
      <c r="H60" s="57">
        <f t="shared" si="13"/>
        <v>0</v>
      </c>
      <c r="I60" s="57">
        <f t="shared" si="13"/>
        <v>0</v>
      </c>
      <c r="J60" s="57">
        <f t="shared" si="13"/>
        <v>0</v>
      </c>
      <c r="K60" s="57">
        <f t="shared" si="13"/>
        <v>0</v>
      </c>
      <c r="L60" s="57">
        <f t="shared" si="13"/>
        <v>0</v>
      </c>
      <c r="M60" s="57">
        <f t="shared" si="13"/>
        <v>0</v>
      </c>
      <c r="N60" s="57">
        <f t="shared" si="13"/>
        <v>0</v>
      </c>
      <c r="O60" s="57">
        <f t="shared" si="13"/>
        <v>0</v>
      </c>
      <c r="P60" s="57">
        <f t="shared" si="13"/>
        <v>0</v>
      </c>
      <c r="Q60" s="57">
        <f t="shared" si="13"/>
        <v>0</v>
      </c>
    </row>
    <row r="61" spans="1:17" ht="12.75" customHeight="1" thickTop="1">
      <c r="A61" s="1" t="s">
        <v>385</v>
      </c>
      <c r="B61" s="1"/>
      <c r="C61" s="1"/>
      <c r="D61" s="37"/>
      <c r="E61" s="45">
        <f>+E60+E37</f>
        <v>0</v>
      </c>
      <c r="F61" s="45">
        <f t="shared" ref="F61:Q61" si="14">+F60+F37</f>
        <v>0</v>
      </c>
      <c r="G61" s="45">
        <f t="shared" si="14"/>
        <v>0</v>
      </c>
      <c r="H61" s="45">
        <f t="shared" si="14"/>
        <v>0</v>
      </c>
      <c r="I61" s="45">
        <f t="shared" si="14"/>
        <v>0</v>
      </c>
      <c r="J61" s="45">
        <f t="shared" si="14"/>
        <v>0</v>
      </c>
      <c r="K61" s="45">
        <f t="shared" si="14"/>
        <v>0</v>
      </c>
      <c r="L61" s="45">
        <f t="shared" si="14"/>
        <v>0</v>
      </c>
      <c r="M61" s="45">
        <f t="shared" si="14"/>
        <v>0</v>
      </c>
      <c r="N61" s="45">
        <f t="shared" si="14"/>
        <v>0</v>
      </c>
      <c r="O61" s="45">
        <f t="shared" si="14"/>
        <v>0</v>
      </c>
      <c r="P61" s="45">
        <f t="shared" si="14"/>
        <v>0</v>
      </c>
      <c r="Q61" s="45">
        <f t="shared" si="14"/>
        <v>0</v>
      </c>
    </row>
    <row r="62" spans="1:17" ht="12.75" customHeight="1">
      <c r="A62" s="1"/>
      <c r="B62" s="1"/>
      <c r="C62" s="1"/>
      <c r="D62" s="37"/>
      <c r="E62" s="45"/>
      <c r="F62" s="45"/>
      <c r="G62" s="45"/>
      <c r="H62" s="45"/>
      <c r="I62" s="45"/>
      <c r="J62" s="45"/>
      <c r="K62" s="45"/>
      <c r="L62" s="45"/>
      <c r="M62" s="45"/>
      <c r="N62" s="45"/>
      <c r="O62" s="45"/>
      <c r="P62" s="45"/>
      <c r="Q62" s="45"/>
    </row>
    <row r="63" spans="1:17" ht="12.75" customHeight="1" outlineLevel="1">
      <c r="A63" s="1" t="s">
        <v>325</v>
      </c>
      <c r="B63" s="1"/>
      <c r="C63" s="1"/>
      <c r="D63" s="37"/>
      <c r="E63" s="45"/>
      <c r="F63" s="45"/>
      <c r="G63" s="45"/>
      <c r="H63" s="45"/>
      <c r="I63" s="45"/>
      <c r="J63" s="45"/>
      <c r="K63" s="45"/>
      <c r="L63" s="45"/>
      <c r="M63" s="45"/>
      <c r="N63" s="45"/>
      <c r="O63" s="45"/>
      <c r="P63" s="45"/>
      <c r="Q63" s="45"/>
    </row>
    <row r="64" spans="1:17" ht="12.75" customHeight="1" outlineLevel="1">
      <c r="A64" s="1"/>
      <c r="B64" s="1" t="s">
        <v>89</v>
      </c>
      <c r="C64" s="1"/>
      <c r="D64" s="37"/>
      <c r="E64" s="45">
        <f>IF('6. Cash Receipts-Disbursements'!$G$28&gt;0,'6. Cash Receipts-Disbursements'!$K$28,0)</f>
        <v>0</v>
      </c>
      <c r="F64" s="45">
        <f>IF('6. Cash Receipts-Disbursements'!$G$28&gt;0,'6. Cash Receipts-Disbursements'!$K$28,0)</f>
        <v>0</v>
      </c>
      <c r="G64" s="45">
        <f>IF('6. Cash Receipts-Disbursements'!$G$28&gt;0,'6. Cash Receipts-Disbursements'!$K$28,0)</f>
        <v>0</v>
      </c>
      <c r="H64" s="45">
        <f>IF('6. Cash Receipts-Disbursements'!$G$28&gt;0,'6. Cash Receipts-Disbursements'!$K$28,0)</f>
        <v>0</v>
      </c>
      <c r="I64" s="45">
        <f>IF('6. Cash Receipts-Disbursements'!$G$28&gt;0,'6. Cash Receipts-Disbursements'!$K$28,0)</f>
        <v>0</v>
      </c>
      <c r="J64" s="45">
        <f>IF('6. Cash Receipts-Disbursements'!$G$28&gt;0,'6. Cash Receipts-Disbursements'!$K$28,0)</f>
        <v>0</v>
      </c>
      <c r="K64" s="45">
        <f>IF('6. Cash Receipts-Disbursements'!$G$28&gt;0,'6. Cash Receipts-Disbursements'!$K$28,0)</f>
        <v>0</v>
      </c>
      <c r="L64" s="45">
        <f>IF('6. Cash Receipts-Disbursements'!$G$28&gt;0,'6. Cash Receipts-Disbursements'!$K$28,0)</f>
        <v>0</v>
      </c>
      <c r="M64" s="45">
        <f>IF('6. Cash Receipts-Disbursements'!$G$28&gt;0,'6. Cash Receipts-Disbursements'!$K$28,0)</f>
        <v>0</v>
      </c>
      <c r="N64" s="45">
        <f>IF('6. Cash Receipts-Disbursements'!$G$28&gt;0,'6. Cash Receipts-Disbursements'!$K$28,0)</f>
        <v>0</v>
      </c>
      <c r="O64" s="45">
        <f>IF('6. Cash Receipts-Disbursements'!$G$28&gt;0,'6. Cash Receipts-Disbursements'!$K$28,0)</f>
        <v>0</v>
      </c>
      <c r="P64" s="45">
        <f>IF('6. Cash Receipts-Disbursements'!$G$28&gt;0,'6. Cash Receipts-Disbursements'!$K$28,0)</f>
        <v>0</v>
      </c>
      <c r="Q64" s="45">
        <f>SUM(E64:P64)</f>
        <v>0</v>
      </c>
    </row>
    <row r="65" spans="1:17" ht="12.75" customHeight="1" outlineLevel="1">
      <c r="A65" s="1"/>
      <c r="B65" s="1" t="s">
        <v>249</v>
      </c>
      <c r="C65" s="1"/>
      <c r="D65" s="37"/>
      <c r="E65" s="45">
        <f>'3. Fixed Operating Expenses'!G34</f>
        <v>0</v>
      </c>
      <c r="F65" s="45">
        <f>E65</f>
        <v>0</v>
      </c>
      <c r="G65" s="45">
        <f t="shared" ref="G65:P65" si="15">F65</f>
        <v>0</v>
      </c>
      <c r="H65" s="45">
        <f t="shared" si="15"/>
        <v>0</v>
      </c>
      <c r="I65" s="45">
        <f t="shared" si="15"/>
        <v>0</v>
      </c>
      <c r="J65" s="45">
        <f t="shared" si="15"/>
        <v>0</v>
      </c>
      <c r="K65" s="45">
        <f t="shared" si="15"/>
        <v>0</v>
      </c>
      <c r="L65" s="45">
        <f t="shared" si="15"/>
        <v>0</v>
      </c>
      <c r="M65" s="45">
        <f t="shared" si="15"/>
        <v>0</v>
      </c>
      <c r="N65" s="45">
        <f t="shared" si="15"/>
        <v>0</v>
      </c>
      <c r="O65" s="45">
        <f t="shared" si="15"/>
        <v>0</v>
      </c>
      <c r="P65" s="45">
        <f t="shared" si="15"/>
        <v>0</v>
      </c>
      <c r="Q65" s="45">
        <f>SUM(E65:P65)</f>
        <v>0</v>
      </c>
    </row>
    <row r="66" spans="1:17" ht="12.75" customHeight="1" outlineLevel="1">
      <c r="A66" s="1"/>
      <c r="B66" s="1" t="s">
        <v>326</v>
      </c>
      <c r="C66" s="1"/>
      <c r="D66" s="37"/>
      <c r="E66" s="45"/>
      <c r="F66" s="45"/>
      <c r="G66" s="45"/>
      <c r="H66" s="45"/>
      <c r="I66" s="45"/>
      <c r="J66" s="45"/>
      <c r="K66" s="45"/>
      <c r="L66" s="45"/>
      <c r="M66" s="45"/>
      <c r="N66" s="45"/>
      <c r="O66" s="45"/>
      <c r="P66" s="45"/>
      <c r="Q66" s="45"/>
    </row>
    <row r="67" spans="1:17" ht="12.75" customHeight="1" outlineLevel="1">
      <c r="A67" s="1"/>
      <c r="B67" s="1"/>
      <c r="C67" s="1" t="s">
        <v>268</v>
      </c>
      <c r="D67" s="37"/>
      <c r="E67" s="45">
        <f>'20. Debt Amoritization Schedule'!G15</f>
        <v>0</v>
      </c>
      <c r="F67" s="45">
        <f>'20. Debt Amoritization Schedule'!H15</f>
        <v>0</v>
      </c>
      <c r="G67" s="45">
        <f>'20. Debt Amoritization Schedule'!I15</f>
        <v>0</v>
      </c>
      <c r="H67" s="45">
        <f>'20. Debt Amoritization Schedule'!J15</f>
        <v>0</v>
      </c>
      <c r="I67" s="45">
        <f>'20. Debt Amoritization Schedule'!K15</f>
        <v>0</v>
      </c>
      <c r="J67" s="45">
        <f>'20. Debt Amoritization Schedule'!L15</f>
        <v>0</v>
      </c>
      <c r="K67" s="45">
        <f>'20. Debt Amoritization Schedule'!M15</f>
        <v>0</v>
      </c>
      <c r="L67" s="45">
        <f>'20. Debt Amoritization Schedule'!N15</f>
        <v>0</v>
      </c>
      <c r="M67" s="45">
        <f>'20. Debt Amoritization Schedule'!O15</f>
        <v>0</v>
      </c>
      <c r="N67" s="45">
        <f>'20. Debt Amoritization Schedule'!P15</f>
        <v>0</v>
      </c>
      <c r="O67" s="45">
        <f>'20. Debt Amoritization Schedule'!Q15</f>
        <v>0</v>
      </c>
      <c r="P67" s="45">
        <f>'20. Debt Amoritization Schedule'!R15</f>
        <v>0</v>
      </c>
      <c r="Q67" s="45">
        <f t="shared" ref="Q67:Q73" si="16">SUM(E67:P67)</f>
        <v>0</v>
      </c>
    </row>
    <row r="68" spans="1:17" ht="12.75" customHeight="1" outlineLevel="1">
      <c r="A68" s="1"/>
      <c r="B68" s="1"/>
      <c r="C68" s="1" t="str">
        <f>+'1. Required Start-Up Funds'!C46</f>
        <v>Commercial Mortgage</v>
      </c>
      <c r="D68" s="37"/>
      <c r="E68" s="45">
        <f>'20. Debt Amoritization Schedule'!G35</f>
        <v>0</v>
      </c>
      <c r="F68" s="45">
        <f>'20. Debt Amoritization Schedule'!H35</f>
        <v>0</v>
      </c>
      <c r="G68" s="45">
        <f>'20. Debt Amoritization Schedule'!I35</f>
        <v>0</v>
      </c>
      <c r="H68" s="45">
        <f>'20. Debt Amoritization Schedule'!J35</f>
        <v>0</v>
      </c>
      <c r="I68" s="45">
        <f>'20. Debt Amoritization Schedule'!K35</f>
        <v>0</v>
      </c>
      <c r="J68" s="45">
        <f>'20. Debt Amoritization Schedule'!L35</f>
        <v>0</v>
      </c>
      <c r="K68" s="45">
        <f>'20. Debt Amoritization Schedule'!M35</f>
        <v>0</v>
      </c>
      <c r="L68" s="45">
        <f>'20. Debt Amoritization Schedule'!N35</f>
        <v>0</v>
      </c>
      <c r="M68" s="45">
        <f>'20. Debt Amoritization Schedule'!O35</f>
        <v>0</v>
      </c>
      <c r="N68" s="45">
        <f>'20. Debt Amoritization Schedule'!P35</f>
        <v>0</v>
      </c>
      <c r="O68" s="45">
        <f>'20. Debt Amoritization Schedule'!Q35</f>
        <v>0</v>
      </c>
      <c r="P68" s="45">
        <f>'20. Debt Amoritization Schedule'!R35</f>
        <v>0</v>
      </c>
      <c r="Q68" s="45">
        <f t="shared" si="16"/>
        <v>0</v>
      </c>
    </row>
    <row r="69" spans="1:17" ht="12.75" customHeight="1" outlineLevel="1">
      <c r="A69" s="1"/>
      <c r="B69" s="1"/>
      <c r="C69" s="1" t="s">
        <v>328</v>
      </c>
      <c r="D69" s="37"/>
      <c r="E69" s="45">
        <f>'9. Cash Flow Statement'!E28</f>
        <v>0</v>
      </c>
      <c r="F69" s="45">
        <f>'9. Cash Flow Statement'!F28</f>
        <v>0</v>
      </c>
      <c r="G69" s="45">
        <f>'9. Cash Flow Statement'!G28</f>
        <v>0</v>
      </c>
      <c r="H69" s="45">
        <f>'9. Cash Flow Statement'!H28</f>
        <v>0</v>
      </c>
      <c r="I69" s="45">
        <f>'9. Cash Flow Statement'!I28</f>
        <v>0</v>
      </c>
      <c r="J69" s="45">
        <f>'9. Cash Flow Statement'!J28</f>
        <v>0</v>
      </c>
      <c r="K69" s="45">
        <f>'9. Cash Flow Statement'!K28</f>
        <v>0</v>
      </c>
      <c r="L69" s="45">
        <f>'9. Cash Flow Statement'!L28</f>
        <v>0</v>
      </c>
      <c r="M69" s="45">
        <f>'9. Cash Flow Statement'!M28</f>
        <v>0</v>
      </c>
      <c r="N69" s="45">
        <f>'9. Cash Flow Statement'!N28</f>
        <v>0</v>
      </c>
      <c r="O69" s="45">
        <f>'9. Cash Flow Statement'!O28</f>
        <v>0</v>
      </c>
      <c r="P69" s="45">
        <f>'9. Cash Flow Statement'!P28</f>
        <v>0</v>
      </c>
      <c r="Q69" s="45">
        <f t="shared" si="16"/>
        <v>0</v>
      </c>
    </row>
    <row r="70" spans="1:17" ht="12.75" customHeight="1" outlineLevel="1">
      <c r="A70" s="1"/>
      <c r="B70" s="1"/>
      <c r="C70" s="1" t="str">
        <f>+'1. Required Start-Up Funds'!C47</f>
        <v>Credit Card Debt</v>
      </c>
      <c r="D70" s="23"/>
      <c r="E70" s="45">
        <f>'20. Debt Amoritization Schedule'!G55</f>
        <v>0</v>
      </c>
      <c r="F70" s="45">
        <f>'20. Debt Amoritization Schedule'!H55</f>
        <v>0</v>
      </c>
      <c r="G70" s="45">
        <f>'20. Debt Amoritization Schedule'!I55</f>
        <v>0</v>
      </c>
      <c r="H70" s="45">
        <f>'20. Debt Amoritization Schedule'!J55</f>
        <v>0</v>
      </c>
      <c r="I70" s="45">
        <f>'20. Debt Amoritization Schedule'!K55</f>
        <v>0</v>
      </c>
      <c r="J70" s="45">
        <f>'20. Debt Amoritization Schedule'!L55</f>
        <v>0</v>
      </c>
      <c r="K70" s="45">
        <f>'20. Debt Amoritization Schedule'!M55</f>
        <v>0</v>
      </c>
      <c r="L70" s="45">
        <f>'20. Debt Amoritization Schedule'!N55</f>
        <v>0</v>
      </c>
      <c r="M70" s="45">
        <f>'20. Debt Amoritization Schedule'!O55</f>
        <v>0</v>
      </c>
      <c r="N70" s="45">
        <f>'20. Debt Amoritization Schedule'!P55</f>
        <v>0</v>
      </c>
      <c r="O70" s="45">
        <f>'20. Debt Amoritization Schedule'!Q55</f>
        <v>0</v>
      </c>
      <c r="P70" s="45">
        <f>'20. Debt Amoritization Schedule'!R55</f>
        <v>0</v>
      </c>
      <c r="Q70" s="45">
        <f t="shared" si="16"/>
        <v>0</v>
      </c>
    </row>
    <row r="71" spans="1:17" ht="12.75" customHeight="1" outlineLevel="1">
      <c r="A71" s="1"/>
      <c r="B71" s="1"/>
      <c r="C71" s="1" t="str">
        <f>+'1. Required Start-Up Funds'!C48</f>
        <v>Vehicle Loans</v>
      </c>
      <c r="D71" s="23"/>
      <c r="E71" s="45">
        <f>'20. Debt Amoritization Schedule'!G75</f>
        <v>0</v>
      </c>
      <c r="F71" s="45">
        <f>'20. Debt Amoritization Schedule'!H75</f>
        <v>0</v>
      </c>
      <c r="G71" s="45">
        <f>'20. Debt Amoritization Schedule'!I75</f>
        <v>0</v>
      </c>
      <c r="H71" s="45">
        <f>'20. Debt Amoritization Schedule'!J75</f>
        <v>0</v>
      </c>
      <c r="I71" s="45">
        <f>'20. Debt Amoritization Schedule'!K75</f>
        <v>0</v>
      </c>
      <c r="J71" s="45">
        <f>'20. Debt Amoritization Schedule'!L75</f>
        <v>0</v>
      </c>
      <c r="K71" s="45">
        <f>'20. Debt Amoritization Schedule'!M75</f>
        <v>0</v>
      </c>
      <c r="L71" s="45">
        <f>'20. Debt Amoritization Schedule'!N75</f>
        <v>0</v>
      </c>
      <c r="M71" s="45">
        <f>'20. Debt Amoritization Schedule'!O75</f>
        <v>0</v>
      </c>
      <c r="N71" s="45">
        <f>'20. Debt Amoritization Schedule'!P75</f>
        <v>0</v>
      </c>
      <c r="O71" s="45">
        <f>'20. Debt Amoritization Schedule'!Q75</f>
        <v>0</v>
      </c>
      <c r="P71" s="45">
        <f>'20. Debt Amoritization Schedule'!R75</f>
        <v>0</v>
      </c>
      <c r="Q71" s="45">
        <f t="shared" si="16"/>
        <v>0</v>
      </c>
    </row>
    <row r="72" spans="1:17" ht="12.75" customHeight="1" outlineLevel="1">
      <c r="A72" s="1"/>
      <c r="B72" s="1"/>
      <c r="C72" s="1" t="str">
        <f>+'1. Required Start-Up Funds'!C44</f>
        <v>Other Debt</v>
      </c>
      <c r="D72" s="23"/>
      <c r="E72" s="45">
        <f>'20. Debt Amoritization Schedule'!G95</f>
        <v>0</v>
      </c>
      <c r="F72" s="45">
        <f>'20. Debt Amoritization Schedule'!H95</f>
        <v>0</v>
      </c>
      <c r="G72" s="45">
        <f>'20. Debt Amoritization Schedule'!I95</f>
        <v>0</v>
      </c>
      <c r="H72" s="45">
        <f>'20. Debt Amoritization Schedule'!J95</f>
        <v>0</v>
      </c>
      <c r="I72" s="45">
        <f>'20. Debt Amoritization Schedule'!K95</f>
        <v>0</v>
      </c>
      <c r="J72" s="45">
        <f>'20. Debt Amoritization Schedule'!L95</f>
        <v>0</v>
      </c>
      <c r="K72" s="45">
        <f>'20. Debt Amoritization Schedule'!M95</f>
        <v>0</v>
      </c>
      <c r="L72" s="45">
        <f>'20. Debt Amoritization Schedule'!N95</f>
        <v>0</v>
      </c>
      <c r="M72" s="45">
        <f>'20. Debt Amoritization Schedule'!O95</f>
        <v>0</v>
      </c>
      <c r="N72" s="45">
        <f>'20. Debt Amoritization Schedule'!P95</f>
        <v>0</v>
      </c>
      <c r="O72" s="45">
        <f>'20. Debt Amoritization Schedule'!Q95</f>
        <v>0</v>
      </c>
      <c r="P72" s="45">
        <f>'20. Debt Amoritization Schedule'!R95</f>
        <v>0</v>
      </c>
      <c r="Q72" s="45">
        <f t="shared" si="16"/>
        <v>0</v>
      </c>
    </row>
    <row r="73" spans="1:17" ht="12.75" customHeight="1" outlineLevel="1" thickBot="1">
      <c r="A73" s="1"/>
      <c r="B73" s="1" t="s">
        <v>188</v>
      </c>
      <c r="C73" s="1"/>
      <c r="D73" s="37"/>
      <c r="E73" s="49">
        <f>IF(E81&gt;0,(E80)*'6. Cash Receipts-Disbursements'!$G$25,0)</f>
        <v>0</v>
      </c>
      <c r="F73" s="49">
        <f>IF(F81&gt;0,(F80)*'6. Cash Receipts-Disbursements'!$G$25,0)</f>
        <v>0</v>
      </c>
      <c r="G73" s="49">
        <f>IF(G81&gt;0,(G80)*'6. Cash Receipts-Disbursements'!$G$25,0)</f>
        <v>0</v>
      </c>
      <c r="H73" s="49">
        <f>IF(H81&gt;0,(H80)*'6. Cash Receipts-Disbursements'!$G$25,0)</f>
        <v>0</v>
      </c>
      <c r="I73" s="49">
        <f>IF(I81&gt;0,(I80)*'6. Cash Receipts-Disbursements'!$G$25,0)</f>
        <v>0</v>
      </c>
      <c r="J73" s="49">
        <f>IF(J81&gt;0,(J80)*'6. Cash Receipts-Disbursements'!$G$25,0)</f>
        <v>0</v>
      </c>
      <c r="K73" s="49">
        <f>IF(K81&gt;0,(K80)*'6. Cash Receipts-Disbursements'!$G$25,0)</f>
        <v>0</v>
      </c>
      <c r="L73" s="49">
        <f>IF(L81&gt;0,(L80)*'6. Cash Receipts-Disbursements'!$G$25,0)</f>
        <v>0</v>
      </c>
      <c r="M73" s="49">
        <f>IF(M81&gt;0,(M80)*'6. Cash Receipts-Disbursements'!$G$25,0)</f>
        <v>0</v>
      </c>
      <c r="N73" s="49">
        <f>IF(N81&gt;0,(N80)*'6. Cash Receipts-Disbursements'!$G$25,0)</f>
        <v>0</v>
      </c>
      <c r="O73" s="49">
        <f>IF(O81&gt;0,(O80)*'6. Cash Receipts-Disbursements'!$G$25,0)</f>
        <v>0</v>
      </c>
      <c r="P73" s="49">
        <f>IF(P81&gt;0,(P80)*'6. Cash Receipts-Disbursements'!$G$25,0)</f>
        <v>0</v>
      </c>
      <c r="Q73" s="49">
        <f t="shared" si="16"/>
        <v>0</v>
      </c>
    </row>
    <row r="74" spans="1:17" ht="12.75" customHeight="1">
      <c r="A74" s="1" t="s">
        <v>327</v>
      </c>
      <c r="B74" s="1"/>
      <c r="C74" s="1"/>
      <c r="D74" s="37"/>
      <c r="E74" s="45">
        <f>SUM(E64:E73)</f>
        <v>0</v>
      </c>
      <c r="F74" s="45">
        <f t="shared" ref="F74:Q74" si="17">SUM(F64:F73)</f>
        <v>0</v>
      </c>
      <c r="G74" s="45">
        <f t="shared" si="17"/>
        <v>0</v>
      </c>
      <c r="H74" s="45">
        <f t="shared" si="17"/>
        <v>0</v>
      </c>
      <c r="I74" s="45">
        <f t="shared" si="17"/>
        <v>0</v>
      </c>
      <c r="J74" s="45">
        <f t="shared" si="17"/>
        <v>0</v>
      </c>
      <c r="K74" s="45">
        <f t="shared" si="17"/>
        <v>0</v>
      </c>
      <c r="L74" s="45">
        <f t="shared" si="17"/>
        <v>0</v>
      </c>
      <c r="M74" s="45">
        <f t="shared" si="17"/>
        <v>0</v>
      </c>
      <c r="N74" s="45">
        <f t="shared" si="17"/>
        <v>0</v>
      </c>
      <c r="O74" s="45">
        <f t="shared" si="17"/>
        <v>0</v>
      </c>
      <c r="P74" s="45">
        <f t="shared" si="17"/>
        <v>0</v>
      </c>
      <c r="Q74" s="45">
        <f t="shared" si="17"/>
        <v>0</v>
      </c>
    </row>
    <row r="75" spans="1:17" ht="12.75" customHeight="1" thickBot="1">
      <c r="A75" s="1"/>
      <c r="B75" s="1"/>
      <c r="C75" s="1"/>
      <c r="D75" s="37"/>
      <c r="E75" s="49"/>
      <c r="F75" s="49"/>
      <c r="G75" s="49"/>
      <c r="H75" s="49"/>
      <c r="I75" s="49"/>
      <c r="J75" s="49"/>
      <c r="K75" s="49"/>
      <c r="L75" s="49"/>
      <c r="M75" s="49"/>
      <c r="N75" s="49"/>
      <c r="O75" s="49"/>
      <c r="P75" s="49"/>
      <c r="Q75" s="49"/>
    </row>
    <row r="76" spans="1:17" ht="15.75" customHeight="1" thickBot="1">
      <c r="A76" s="1" t="s">
        <v>175</v>
      </c>
      <c r="B76" s="1"/>
      <c r="C76" s="1"/>
      <c r="D76" s="37"/>
      <c r="E76" s="90">
        <f t="shared" ref="E76:Q76" si="18">E28-E37-E60-E74</f>
        <v>0</v>
      </c>
      <c r="F76" s="90">
        <f t="shared" si="18"/>
        <v>0</v>
      </c>
      <c r="G76" s="90">
        <f t="shared" si="18"/>
        <v>0</v>
      </c>
      <c r="H76" s="90">
        <f t="shared" si="18"/>
        <v>0</v>
      </c>
      <c r="I76" s="90">
        <f t="shared" si="18"/>
        <v>0</v>
      </c>
      <c r="J76" s="90">
        <f t="shared" si="18"/>
        <v>0</v>
      </c>
      <c r="K76" s="90">
        <f t="shared" si="18"/>
        <v>0</v>
      </c>
      <c r="L76" s="90">
        <f t="shared" si="18"/>
        <v>0</v>
      </c>
      <c r="M76" s="90">
        <f t="shared" si="18"/>
        <v>0</v>
      </c>
      <c r="N76" s="90">
        <f t="shared" si="18"/>
        <v>0</v>
      </c>
      <c r="O76" s="90">
        <f t="shared" si="18"/>
        <v>0</v>
      </c>
      <c r="P76" s="90">
        <f t="shared" si="18"/>
        <v>0</v>
      </c>
      <c r="Q76" s="90">
        <f t="shared" si="18"/>
        <v>0</v>
      </c>
    </row>
    <row r="77" spans="1:17" ht="12.75" customHeight="1" thickTop="1">
      <c r="A77" s="1"/>
      <c r="B77" s="1"/>
      <c r="C77" s="1"/>
      <c r="D77" s="37"/>
      <c r="E77" s="37"/>
      <c r="F77" s="37"/>
      <c r="G77" s="37"/>
      <c r="H77" s="37"/>
      <c r="I77" s="37"/>
      <c r="J77" s="37"/>
      <c r="K77" s="37"/>
      <c r="L77" s="37"/>
      <c r="M77" s="37"/>
      <c r="N77" s="37"/>
      <c r="O77" s="37"/>
      <c r="P77" s="37"/>
      <c r="Q77" s="37"/>
    </row>
    <row r="78" spans="1:17" s="175" customFormat="1" ht="12.75" customHeight="1">
      <c r="A78" s="269" t="str">
        <f>IF(SUM(E78:P78)&gt;0,"Additional Funding needed Line of Credit Balance","")</f>
        <v/>
      </c>
      <c r="B78" s="269"/>
      <c r="C78" s="269"/>
      <c r="D78" s="45"/>
      <c r="E78" s="45" t="str">
        <f>IF('9. Cash Flow Statement'!E42&gt;0,'9. Cash Flow Statement'!E42,"")</f>
        <v/>
      </c>
      <c r="F78" s="45" t="str">
        <f>IF('9. Cash Flow Statement'!F42&gt;0,'9. Cash Flow Statement'!F42,"")</f>
        <v/>
      </c>
      <c r="G78" s="45" t="str">
        <f>IF('9. Cash Flow Statement'!G42&gt;0,'9. Cash Flow Statement'!G42,"")</f>
        <v/>
      </c>
      <c r="H78" s="45" t="str">
        <f>IF('9. Cash Flow Statement'!H42&gt;0,'9. Cash Flow Statement'!H42,"")</f>
        <v/>
      </c>
      <c r="I78" s="45" t="str">
        <f>IF('9. Cash Flow Statement'!I42&gt;0,'9. Cash Flow Statement'!I42,"")</f>
        <v/>
      </c>
      <c r="J78" s="45" t="str">
        <f>IF('9. Cash Flow Statement'!J42&gt;0,'9. Cash Flow Statement'!J42,"")</f>
        <v/>
      </c>
      <c r="K78" s="45" t="str">
        <f>IF('9. Cash Flow Statement'!K42&gt;0,'9. Cash Flow Statement'!K42,"")</f>
        <v/>
      </c>
      <c r="L78" s="45" t="str">
        <f>IF('9. Cash Flow Statement'!L42&gt;0,'9. Cash Flow Statement'!L42,"")</f>
        <v/>
      </c>
      <c r="M78" s="45" t="str">
        <f>IF('9. Cash Flow Statement'!M42&gt;0,'9. Cash Flow Statement'!M42,"")</f>
        <v/>
      </c>
      <c r="N78" s="45" t="str">
        <f>IF('9. Cash Flow Statement'!N42&gt;0,'9. Cash Flow Statement'!N42,"")</f>
        <v/>
      </c>
      <c r="O78" s="45" t="str">
        <f>IF('9. Cash Flow Statement'!O42&gt;0,'9. Cash Flow Statement'!O42,"")</f>
        <v/>
      </c>
      <c r="P78" s="45" t="str">
        <f>IF('9. Cash Flow Statement'!P42&gt;0,'9. Cash Flow Statement'!P42,"")</f>
        <v/>
      </c>
      <c r="Q78" s="45"/>
    </row>
    <row r="79" spans="1:17" ht="12.75" customHeight="1">
      <c r="A79" s="1"/>
      <c r="B79" s="1"/>
      <c r="C79" s="1"/>
      <c r="D79" s="37"/>
      <c r="E79" s="37"/>
      <c r="F79" s="37"/>
      <c r="G79" s="37"/>
      <c r="H79" s="37"/>
      <c r="I79" s="37"/>
      <c r="J79" s="37"/>
      <c r="K79" s="37"/>
      <c r="L79" s="37"/>
      <c r="M79" s="37"/>
      <c r="N79" s="37"/>
      <c r="O79" s="37"/>
      <c r="P79" s="37"/>
      <c r="Q79" s="37"/>
    </row>
    <row r="80" spans="1:17" s="356" customFormat="1" ht="12.75" customHeight="1">
      <c r="A80" s="334" t="s">
        <v>401</v>
      </c>
      <c r="B80" s="334"/>
      <c r="C80" s="334"/>
      <c r="E80" s="355">
        <f>E28-E37-E60-E64-E65-E67-E68-E69-E70-E71-E72</f>
        <v>0</v>
      </c>
      <c r="F80" s="355">
        <f>F28-F37-F60-F64-F65-F67-F68-F69-F70-F71-F72</f>
        <v>0</v>
      </c>
      <c r="G80" s="355">
        <f t="shared" ref="G80:P80" si="19">G28-G37-G60-G64-G65-G67-G68-G69-G70-G71-G72</f>
        <v>0</v>
      </c>
      <c r="H80" s="355">
        <f t="shared" si="19"/>
        <v>0</v>
      </c>
      <c r="I80" s="355">
        <f t="shared" si="19"/>
        <v>0</v>
      </c>
      <c r="J80" s="355">
        <f t="shared" si="19"/>
        <v>0</v>
      </c>
      <c r="K80" s="355">
        <f t="shared" si="19"/>
        <v>0</v>
      </c>
      <c r="L80" s="355">
        <f t="shared" si="19"/>
        <v>0</v>
      </c>
      <c r="M80" s="355">
        <f t="shared" si="19"/>
        <v>0</v>
      </c>
      <c r="N80" s="355">
        <f t="shared" si="19"/>
        <v>0</v>
      </c>
      <c r="O80" s="355">
        <f t="shared" si="19"/>
        <v>0</v>
      </c>
      <c r="P80" s="355">
        <f t="shared" si="19"/>
        <v>0</v>
      </c>
    </row>
    <row r="81" spans="1:16" s="356" customFormat="1" ht="12.75" customHeight="1">
      <c r="A81" s="334" t="s">
        <v>402</v>
      </c>
      <c r="B81" s="334"/>
      <c r="C81" s="334"/>
      <c r="E81" s="355">
        <f>E80</f>
        <v>0</v>
      </c>
      <c r="F81" s="355">
        <f>E81+F80</f>
        <v>0</v>
      </c>
      <c r="G81" s="355">
        <f t="shared" ref="G81:P81" si="20">F81+G80</f>
        <v>0</v>
      </c>
      <c r="H81" s="355">
        <f t="shared" si="20"/>
        <v>0</v>
      </c>
      <c r="I81" s="355">
        <f t="shared" si="20"/>
        <v>0</v>
      </c>
      <c r="J81" s="355">
        <f t="shared" si="20"/>
        <v>0</v>
      </c>
      <c r="K81" s="355">
        <f t="shared" si="20"/>
        <v>0</v>
      </c>
      <c r="L81" s="355">
        <f t="shared" si="20"/>
        <v>0</v>
      </c>
      <c r="M81" s="355">
        <f t="shared" si="20"/>
        <v>0</v>
      </c>
      <c r="N81" s="355">
        <f t="shared" si="20"/>
        <v>0</v>
      </c>
      <c r="O81" s="355">
        <f t="shared" si="20"/>
        <v>0</v>
      </c>
      <c r="P81" s="355">
        <f t="shared" si="20"/>
        <v>0</v>
      </c>
    </row>
    <row r="82" spans="1:16" ht="12.75" customHeight="1">
      <c r="P82" s="21"/>
    </row>
    <row r="83" spans="1:16" ht="12.75" customHeight="1"/>
    <row r="84" spans="1:16" ht="12.75" customHeight="1"/>
    <row r="85" spans="1:16" ht="12.75" customHeight="1"/>
    <row r="86" spans="1:16" ht="12.75" customHeight="1"/>
    <row r="87" spans="1:16" ht="12.75" customHeight="1"/>
    <row r="88" spans="1:16" ht="12.75" customHeight="1"/>
    <row r="89" spans="1:16" ht="12.75" customHeight="1"/>
    <row r="90" spans="1:16" ht="12.75" customHeight="1"/>
    <row r="91" spans="1:16" ht="12.75" customHeight="1"/>
    <row r="92" spans="1:16" ht="12.75" customHeight="1"/>
    <row r="93" spans="1:16" ht="12.75" customHeight="1"/>
    <row r="94" spans="1:16" ht="12.75" customHeight="1"/>
    <row r="95" spans="1:16" ht="12.75" customHeight="1"/>
    <row r="96" spans="1:16" ht="12.75" customHeight="1"/>
    <row r="97" spans="2:6" ht="12.75" customHeight="1"/>
    <row r="98" spans="2:6" ht="12.75" customHeight="1"/>
    <row r="99" spans="2:6" ht="12.75" customHeight="1"/>
    <row r="100" spans="2:6">
      <c r="B100" s="6" t="s">
        <v>295</v>
      </c>
      <c r="D100" s="1"/>
      <c r="E100" s="1"/>
      <c r="F100" s="37"/>
    </row>
    <row r="101" spans="2:6">
      <c r="B101" s="6" t="s">
        <v>296</v>
      </c>
      <c r="D101" s="1"/>
      <c r="E101" s="1"/>
      <c r="F101" s="37"/>
    </row>
    <row r="102" spans="2:6">
      <c r="B102" s="6" t="s">
        <v>298</v>
      </c>
      <c r="D102" s="1"/>
      <c r="E102" s="1"/>
      <c r="F102" s="37"/>
    </row>
    <row r="103" spans="2:6">
      <c r="B103" s="6" t="s">
        <v>299</v>
      </c>
      <c r="D103" s="1"/>
      <c r="E103" s="1"/>
      <c r="F103" s="37"/>
    </row>
    <row r="104" spans="2:6">
      <c r="B104" s="6" t="s">
        <v>300</v>
      </c>
      <c r="D104" s="1"/>
      <c r="E104" s="1"/>
      <c r="F104" s="37"/>
    </row>
    <row r="105" spans="2:6">
      <c r="B105" s="6" t="s">
        <v>302</v>
      </c>
    </row>
  </sheetData>
  <phoneticPr fontId="4" type="noConversion"/>
  <pageMargins left="0.75" right="0.75" top="1" bottom="0.75" header="0.5" footer="0.5"/>
  <pageSetup scale="75"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sheetPr>
  <dimension ref="A1:Q90"/>
  <sheetViews>
    <sheetView showGridLines="0" zoomScale="90" zoomScaleNormal="90" workbookViewId="0">
      <pane ySplit="6" topLeftCell="A7" activePane="bottomLeft" state="frozen"/>
      <selection pane="bottomLeft" activeCell="E19" sqref="E19"/>
    </sheetView>
  </sheetViews>
  <sheetFormatPr defaultColWidth="8.85546875" defaultRowHeight="12"/>
  <cols>
    <col min="1" max="3" width="3" style="6" customWidth="1"/>
    <col min="4" max="4" width="35.140625" style="1" customWidth="1"/>
    <col min="5" max="16" width="10.85546875" style="1" customWidth="1"/>
    <col min="17" max="17" width="15.85546875" style="1" customWidth="1"/>
  </cols>
  <sheetData>
    <row r="1" spans="1:17" ht="15.75">
      <c r="A1" s="5" t="str">
        <f>'1. Required Start-Up Funds'!A1</f>
        <v xml:space="preserve"> </v>
      </c>
    </row>
    <row r="2" spans="1:17" ht="15.75">
      <c r="A2" s="5" t="s">
        <v>44</v>
      </c>
    </row>
    <row r="3" spans="1:17" ht="12.75" customHeight="1">
      <c r="A3" s="1"/>
      <c r="B3" s="1"/>
      <c r="C3" s="1"/>
    </row>
    <row r="4" spans="1:17" ht="12.75" customHeight="1">
      <c r="A4" s="1"/>
      <c r="B4" s="1"/>
      <c r="C4" s="1"/>
    </row>
    <row r="5" spans="1:17" ht="12.75" customHeight="1">
      <c r="A5" s="1"/>
      <c r="B5" s="1"/>
      <c r="C5" s="1"/>
    </row>
    <row r="6" spans="1:17" ht="12.75" customHeight="1" thickBot="1">
      <c r="A6" s="1"/>
      <c r="B6" s="1"/>
      <c r="C6" s="1"/>
      <c r="E6" s="40">
        <f>'4a.Prod 1-6 Unit Sales Forecast'!H6</f>
        <v>1</v>
      </c>
      <c r="F6" s="40">
        <f>'4a.Prod 1-6 Unit Sales Forecast'!I6</f>
        <v>2</v>
      </c>
      <c r="G6" s="40">
        <f>'4a.Prod 1-6 Unit Sales Forecast'!J6</f>
        <v>3</v>
      </c>
      <c r="H6" s="40">
        <f>'4a.Prod 1-6 Unit Sales Forecast'!K6</f>
        <v>4</v>
      </c>
      <c r="I6" s="40">
        <f>'4a.Prod 1-6 Unit Sales Forecast'!L6</f>
        <v>5</v>
      </c>
      <c r="J6" s="40">
        <f>'4a.Prod 1-6 Unit Sales Forecast'!M6</f>
        <v>6</v>
      </c>
      <c r="K6" s="40">
        <f>'4a.Prod 1-6 Unit Sales Forecast'!N6</f>
        <v>7</v>
      </c>
      <c r="L6" s="40">
        <f>'4a.Prod 1-6 Unit Sales Forecast'!O6</f>
        <v>8</v>
      </c>
      <c r="M6" s="40">
        <f>'4a.Prod 1-6 Unit Sales Forecast'!P6</f>
        <v>9</v>
      </c>
      <c r="N6" s="40">
        <f>'4a.Prod 1-6 Unit Sales Forecast'!Q6</f>
        <v>10</v>
      </c>
      <c r="O6" s="40">
        <f>'4a.Prod 1-6 Unit Sales Forecast'!R6</f>
        <v>11</v>
      </c>
      <c r="P6" s="40">
        <f>'4a.Prod 1-6 Unit Sales Forecast'!S6</f>
        <v>12</v>
      </c>
      <c r="Q6" s="40" t="s">
        <v>248</v>
      </c>
    </row>
    <row r="7" spans="1:17" ht="12.75" customHeight="1" thickTop="1">
      <c r="A7" s="85"/>
      <c r="B7" s="85"/>
      <c r="C7" s="85"/>
      <c r="D7" s="85"/>
      <c r="E7" s="85"/>
      <c r="F7" s="85"/>
      <c r="G7" s="85"/>
      <c r="H7" s="85"/>
      <c r="I7" s="85"/>
      <c r="J7" s="85"/>
      <c r="K7" s="85"/>
      <c r="L7" s="85"/>
      <c r="M7" s="85"/>
      <c r="N7" s="85"/>
      <c r="O7" s="85"/>
      <c r="P7" s="85"/>
      <c r="Q7" s="85"/>
    </row>
    <row r="8" spans="1:17" ht="12.75" customHeight="1">
      <c r="A8" s="85" t="s">
        <v>176</v>
      </c>
      <c r="B8" s="85"/>
      <c r="C8" s="85"/>
      <c r="D8" s="85"/>
      <c r="E8" s="280">
        <f>startingcash+('1. Required Start-Up Funds'!I50-'1. Required Start-Up Funds'!I31)</f>
        <v>0</v>
      </c>
      <c r="F8" s="280">
        <f>E39</f>
        <v>0</v>
      </c>
      <c r="G8" s="280">
        <f t="shared" ref="G8:P8" si="0">F39</f>
        <v>0</v>
      </c>
      <c r="H8" s="280">
        <f t="shared" si="0"/>
        <v>0</v>
      </c>
      <c r="I8" s="280">
        <f t="shared" si="0"/>
        <v>0</v>
      </c>
      <c r="J8" s="280">
        <f t="shared" si="0"/>
        <v>0</v>
      </c>
      <c r="K8" s="280">
        <f t="shared" si="0"/>
        <v>0</v>
      </c>
      <c r="L8" s="280">
        <f t="shared" si="0"/>
        <v>0</v>
      </c>
      <c r="M8" s="280">
        <f t="shared" si="0"/>
        <v>0</v>
      </c>
      <c r="N8" s="280">
        <f t="shared" si="0"/>
        <v>0</v>
      </c>
      <c r="O8" s="280">
        <f t="shared" si="0"/>
        <v>0</v>
      </c>
      <c r="P8" s="280">
        <f t="shared" si="0"/>
        <v>0</v>
      </c>
      <c r="Q8" s="280"/>
    </row>
    <row r="9" spans="1:17" ht="12.75" customHeight="1">
      <c r="A9" s="85"/>
      <c r="B9" s="85"/>
      <c r="C9" s="85"/>
      <c r="D9" s="85"/>
      <c r="E9" s="280"/>
      <c r="F9" s="280"/>
      <c r="G9" s="280"/>
      <c r="H9" s="280"/>
      <c r="I9" s="280"/>
      <c r="J9" s="280"/>
      <c r="K9" s="280"/>
      <c r="L9" s="280"/>
      <c r="M9" s="280"/>
      <c r="N9" s="280"/>
      <c r="O9" s="280"/>
      <c r="P9" s="280"/>
      <c r="Q9" s="280"/>
    </row>
    <row r="10" spans="1:17" ht="12.75" customHeight="1">
      <c r="A10" s="85" t="s">
        <v>177</v>
      </c>
      <c r="B10" s="85"/>
      <c r="C10" s="85"/>
      <c r="D10" s="85"/>
      <c r="E10" s="280"/>
      <c r="F10" s="280"/>
      <c r="G10" s="280"/>
      <c r="H10" s="280"/>
      <c r="I10" s="280"/>
      <c r="J10" s="280"/>
      <c r="K10" s="280"/>
      <c r="L10" s="280"/>
      <c r="M10" s="280"/>
      <c r="N10" s="280"/>
      <c r="O10" s="280"/>
      <c r="P10" s="280"/>
      <c r="Q10" s="280"/>
    </row>
    <row r="11" spans="1:17" ht="12.75" customHeight="1">
      <c r="A11" s="85"/>
      <c r="B11" s="85" t="s">
        <v>178</v>
      </c>
      <c r="C11" s="85"/>
      <c r="D11" s="85"/>
      <c r="E11" s="280">
        <f>'8. Income Statement'!E16*'6. Cash Receipts-Disbursements'!$G$8</f>
        <v>0</v>
      </c>
      <c r="F11" s="280">
        <f>'8. Income Statement'!F16*'6. Cash Receipts-Disbursements'!$G$8</f>
        <v>0</v>
      </c>
      <c r="G11" s="280">
        <f>'8. Income Statement'!G16*'6. Cash Receipts-Disbursements'!$G$8</f>
        <v>0</v>
      </c>
      <c r="H11" s="280">
        <f>'8. Income Statement'!H16*'6. Cash Receipts-Disbursements'!$G$8</f>
        <v>0</v>
      </c>
      <c r="I11" s="280">
        <f>'8. Income Statement'!I16*'6. Cash Receipts-Disbursements'!$G$8</f>
        <v>0</v>
      </c>
      <c r="J11" s="280">
        <f>'8. Income Statement'!J16*'6. Cash Receipts-Disbursements'!$G$8</f>
        <v>0</v>
      </c>
      <c r="K11" s="280">
        <f>'8. Income Statement'!K16*'6. Cash Receipts-Disbursements'!$G$8</f>
        <v>0</v>
      </c>
      <c r="L11" s="280">
        <f>'8. Income Statement'!L16*'6. Cash Receipts-Disbursements'!$G$8</f>
        <v>0</v>
      </c>
      <c r="M11" s="280">
        <f>'8. Income Statement'!M16*'6. Cash Receipts-Disbursements'!$G$8</f>
        <v>0</v>
      </c>
      <c r="N11" s="280">
        <f>'8. Income Statement'!N16*'6. Cash Receipts-Disbursements'!$G$8</f>
        <v>0</v>
      </c>
      <c r="O11" s="280">
        <f>'8. Income Statement'!O16*'6. Cash Receipts-Disbursements'!$G$8</f>
        <v>0</v>
      </c>
      <c r="P11" s="280">
        <f>'8. Income Statement'!P16*'6. Cash Receipts-Disbursements'!$G$8</f>
        <v>0</v>
      </c>
      <c r="Q11" s="280">
        <f>SUM(E11:P11)</f>
        <v>0</v>
      </c>
    </row>
    <row r="12" spans="1:17" ht="12.75" customHeight="1">
      <c r="A12" s="85"/>
      <c r="B12" s="85" t="s">
        <v>179</v>
      </c>
      <c r="C12" s="85"/>
      <c r="D12" s="85"/>
      <c r="E12" s="280">
        <v>0</v>
      </c>
      <c r="F12" s="280">
        <f>'8. Income Statement'!E16*'6. Cash Receipts-Disbursements'!G9</f>
        <v>0</v>
      </c>
      <c r="G12" s="280">
        <f>('8. Income Statement'!F16*'6. Cash Receipts-Disbursements'!$G$9)+('8. Income Statement'!E16*'6. Cash Receipts-Disbursements'!$G$10)</f>
        <v>0</v>
      </c>
      <c r="H12" s="280">
        <f>('8. Income Statement'!G16*'6. Cash Receipts-Disbursements'!$G$9)+('8. Income Statement'!F16*'6. Cash Receipts-Disbursements'!$G$10)</f>
        <v>0</v>
      </c>
      <c r="I12" s="280">
        <f>('8. Income Statement'!H16*'6. Cash Receipts-Disbursements'!$G$9)+('8. Income Statement'!G16*'6. Cash Receipts-Disbursements'!$G$10)</f>
        <v>0</v>
      </c>
      <c r="J12" s="280">
        <f>('8. Income Statement'!I16*'6. Cash Receipts-Disbursements'!$G$9)+('8. Income Statement'!H16*'6. Cash Receipts-Disbursements'!$G$10)</f>
        <v>0</v>
      </c>
      <c r="K12" s="280">
        <f>('8. Income Statement'!J16*'6. Cash Receipts-Disbursements'!$G$9)+('8. Income Statement'!I16*'6. Cash Receipts-Disbursements'!$G$10)</f>
        <v>0</v>
      </c>
      <c r="L12" s="280">
        <f>('8. Income Statement'!K16*'6. Cash Receipts-Disbursements'!$G$9)+('8. Income Statement'!J16*'6. Cash Receipts-Disbursements'!$G$10)</f>
        <v>0</v>
      </c>
      <c r="M12" s="280">
        <f>('8. Income Statement'!L16*'6. Cash Receipts-Disbursements'!$G$9)+('8. Income Statement'!K16*'6. Cash Receipts-Disbursements'!$G$10)</f>
        <v>0</v>
      </c>
      <c r="N12" s="280">
        <f>('8. Income Statement'!M16*'6. Cash Receipts-Disbursements'!$G$9)+('8. Income Statement'!L16*'6. Cash Receipts-Disbursements'!$G$10)</f>
        <v>0</v>
      </c>
      <c r="O12" s="280">
        <f>('8. Income Statement'!N16*'6. Cash Receipts-Disbursements'!$G$9)+('8. Income Statement'!M16*'6. Cash Receipts-Disbursements'!$G$10)</f>
        <v>0</v>
      </c>
      <c r="P12" s="280">
        <f>('8. Income Statement'!O16*'6. Cash Receipts-Disbursements'!$G$9)+('8. Income Statement'!N16*'6. Cash Receipts-Disbursements'!$G$10)</f>
        <v>0</v>
      </c>
      <c r="Q12" s="280">
        <f>SUM(E12:P12)</f>
        <v>0</v>
      </c>
    </row>
    <row r="13" spans="1:17" ht="12.75" customHeight="1" thickBot="1">
      <c r="A13" s="85"/>
      <c r="B13" s="85" t="s">
        <v>73</v>
      </c>
      <c r="C13" s="85"/>
      <c r="D13" s="85"/>
      <c r="E13" s="281"/>
      <c r="F13" s="399">
        <v>0</v>
      </c>
      <c r="G13" s="399">
        <v>0</v>
      </c>
      <c r="H13" s="399">
        <v>0</v>
      </c>
      <c r="I13" s="399">
        <v>0</v>
      </c>
      <c r="J13" s="399">
        <v>0</v>
      </c>
      <c r="K13" s="399">
        <v>0</v>
      </c>
      <c r="L13" s="399">
        <v>0</v>
      </c>
      <c r="M13" s="399">
        <v>0</v>
      </c>
      <c r="N13" s="399">
        <v>0</v>
      </c>
      <c r="O13" s="399">
        <v>0</v>
      </c>
      <c r="P13" s="399">
        <v>0</v>
      </c>
      <c r="Q13" s="280">
        <f>SUM(E13:P13)</f>
        <v>0</v>
      </c>
    </row>
    <row r="14" spans="1:17" ht="12.75" customHeight="1">
      <c r="A14" s="85"/>
      <c r="B14" s="85"/>
      <c r="C14" s="85"/>
      <c r="D14" s="85"/>
      <c r="E14" s="280"/>
      <c r="F14" s="280"/>
      <c r="G14" s="280"/>
      <c r="H14" s="280"/>
      <c r="I14" s="280"/>
      <c r="J14" s="280"/>
      <c r="K14" s="280"/>
      <c r="L14" s="280"/>
      <c r="M14" s="280"/>
      <c r="N14" s="280"/>
      <c r="O14" s="280"/>
      <c r="P14" s="280"/>
      <c r="Q14" s="280"/>
    </row>
    <row r="15" spans="1:17" ht="12.75" customHeight="1">
      <c r="A15" s="85" t="s">
        <v>180</v>
      </c>
      <c r="B15" s="85"/>
      <c r="C15" s="85"/>
      <c r="D15" s="85"/>
      <c r="E15" s="280">
        <f>SUM(E11:E13)</f>
        <v>0</v>
      </c>
      <c r="F15" s="280">
        <f t="shared" ref="F15:P15" si="1">SUM(F11:F13)</f>
        <v>0</v>
      </c>
      <c r="G15" s="280">
        <f t="shared" si="1"/>
        <v>0</v>
      </c>
      <c r="H15" s="280">
        <f t="shared" si="1"/>
        <v>0</v>
      </c>
      <c r="I15" s="280">
        <f t="shared" si="1"/>
        <v>0</v>
      </c>
      <c r="J15" s="280">
        <f t="shared" si="1"/>
        <v>0</v>
      </c>
      <c r="K15" s="280">
        <f t="shared" si="1"/>
        <v>0</v>
      </c>
      <c r="L15" s="280">
        <f t="shared" si="1"/>
        <v>0</v>
      </c>
      <c r="M15" s="280">
        <f t="shared" si="1"/>
        <v>0</v>
      </c>
      <c r="N15" s="280">
        <f t="shared" si="1"/>
        <v>0</v>
      </c>
      <c r="O15" s="280">
        <f t="shared" si="1"/>
        <v>0</v>
      </c>
      <c r="P15" s="280">
        <f t="shared" si="1"/>
        <v>0</v>
      </c>
      <c r="Q15" s="280">
        <f>SUM(Q11:Q12)</f>
        <v>0</v>
      </c>
    </row>
    <row r="16" spans="1:17" ht="12.75" customHeight="1">
      <c r="A16" s="85"/>
      <c r="B16" s="85"/>
      <c r="C16" s="85"/>
      <c r="D16" s="85"/>
      <c r="E16" s="280"/>
      <c r="F16" s="280"/>
      <c r="G16" s="280"/>
      <c r="H16" s="280"/>
      <c r="I16" s="280"/>
      <c r="J16" s="280"/>
      <c r="K16" s="280"/>
      <c r="L16" s="280"/>
      <c r="M16" s="280"/>
      <c r="N16" s="280"/>
      <c r="O16" s="280"/>
      <c r="P16" s="280"/>
      <c r="Q16" s="280"/>
    </row>
    <row r="17" spans="1:17" ht="12.75" customHeight="1">
      <c r="A17" s="85" t="s">
        <v>181</v>
      </c>
      <c r="B17" s="85"/>
      <c r="C17" s="85"/>
      <c r="D17" s="85"/>
      <c r="E17" s="280"/>
      <c r="F17" s="280"/>
      <c r="G17" s="280"/>
      <c r="H17" s="280"/>
      <c r="I17" s="280"/>
      <c r="J17" s="280"/>
      <c r="K17" s="280"/>
      <c r="L17" s="280"/>
      <c r="M17" s="280"/>
      <c r="N17" s="280"/>
      <c r="O17" s="280"/>
      <c r="P17" s="280"/>
      <c r="Q17" s="280"/>
    </row>
    <row r="18" spans="1:17" ht="12.75" customHeight="1">
      <c r="A18" s="85"/>
      <c r="B18" s="1" t="s">
        <v>198</v>
      </c>
      <c r="C18" s="1"/>
      <c r="D18" s="85"/>
      <c r="E18" s="280"/>
      <c r="F18" s="280"/>
      <c r="G18" s="280"/>
      <c r="H18" s="280"/>
      <c r="I18" s="280"/>
      <c r="J18" s="280"/>
      <c r="K18" s="280"/>
      <c r="L18" s="280"/>
      <c r="M18" s="280"/>
      <c r="N18" s="280"/>
      <c r="O18" s="280"/>
      <c r="P18" s="280"/>
      <c r="Q18" s="280"/>
    </row>
    <row r="19" spans="1:17" ht="12.75" customHeight="1">
      <c r="A19" s="85"/>
      <c r="B19" s="1"/>
      <c r="C19" s="85" t="s">
        <v>107</v>
      </c>
      <c r="D19" s="85"/>
      <c r="E19" s="398">
        <v>0</v>
      </c>
      <c r="F19" s="398">
        <v>0</v>
      </c>
      <c r="G19" s="398">
        <v>0</v>
      </c>
      <c r="H19" s="398">
        <v>0</v>
      </c>
      <c r="I19" s="398">
        <v>0</v>
      </c>
      <c r="J19" s="398">
        <v>0</v>
      </c>
      <c r="K19" s="398">
        <v>0</v>
      </c>
      <c r="L19" s="398">
        <v>0</v>
      </c>
      <c r="M19" s="398">
        <v>0</v>
      </c>
      <c r="N19" s="398">
        <v>0</v>
      </c>
      <c r="O19" s="398">
        <v>0</v>
      </c>
      <c r="P19" s="398">
        <v>0</v>
      </c>
      <c r="Q19" s="280">
        <f>SUM(E19:P19)</f>
        <v>0</v>
      </c>
    </row>
    <row r="20" spans="1:17" ht="12.75" customHeight="1">
      <c r="A20" s="85"/>
      <c r="B20" s="1"/>
      <c r="C20" s="85" t="s">
        <v>108</v>
      </c>
      <c r="D20" s="85"/>
      <c r="E20" s="398">
        <v>0</v>
      </c>
      <c r="F20" s="398">
        <v>0</v>
      </c>
      <c r="G20" s="398">
        <v>0</v>
      </c>
      <c r="H20" s="398">
        <v>0</v>
      </c>
      <c r="I20" s="398"/>
      <c r="J20" s="398">
        <v>0</v>
      </c>
      <c r="K20" s="398">
        <v>0</v>
      </c>
      <c r="L20" s="398"/>
      <c r="M20" s="398">
        <v>0</v>
      </c>
      <c r="N20" s="398">
        <v>0</v>
      </c>
      <c r="O20" s="398"/>
      <c r="P20" s="398">
        <v>0</v>
      </c>
      <c r="Q20" s="280">
        <f>SUM(E20:P20)</f>
        <v>0</v>
      </c>
    </row>
    <row r="21" spans="1:17" ht="12.75" customHeight="1">
      <c r="A21" s="85"/>
      <c r="B21" s="85"/>
      <c r="C21" s="85" t="s">
        <v>170</v>
      </c>
      <c r="D21" s="85"/>
      <c r="E21" s="280">
        <f>'8. Income Statement'!E26*'6. Cash Receipts-Disbursements'!G15</f>
        <v>0</v>
      </c>
      <c r="F21" s="280">
        <f>('8. Income Statement'!F26*'6. Cash Receipts-Disbursements'!G15)+('8. Income Statement'!E26*'6. Cash Receipts-Disbursements'!G16)</f>
        <v>0</v>
      </c>
      <c r="G21" s="280">
        <f>('8. Income Statement'!G26*'6. Cash Receipts-Disbursements'!$G$15)+('8. Income Statement'!F26*'6. Cash Receipts-Disbursements'!$G$16)+('8. Income Statement'!E26*'6. Cash Receipts-Disbursements'!$G$17)</f>
        <v>0</v>
      </c>
      <c r="H21" s="280">
        <f>('8. Income Statement'!H26*'6. Cash Receipts-Disbursements'!$G$15)+('8. Income Statement'!G26*'6. Cash Receipts-Disbursements'!$G$16)+('8. Income Statement'!F26*'6. Cash Receipts-Disbursements'!$G$17)</f>
        <v>0</v>
      </c>
      <c r="I21" s="280">
        <f>('8. Income Statement'!I26*'6. Cash Receipts-Disbursements'!$G$15)+('8. Income Statement'!H26*'6. Cash Receipts-Disbursements'!$G$16)+('8. Income Statement'!G26*'6. Cash Receipts-Disbursements'!$G$17)</f>
        <v>0</v>
      </c>
      <c r="J21" s="280">
        <f>('8. Income Statement'!J26*'6. Cash Receipts-Disbursements'!$G$15)+('8. Income Statement'!I26*'6. Cash Receipts-Disbursements'!$G$16)+('8. Income Statement'!H26*'6. Cash Receipts-Disbursements'!$G$17)</f>
        <v>0</v>
      </c>
      <c r="K21" s="280">
        <f>('8. Income Statement'!K26*'6. Cash Receipts-Disbursements'!$G$15)+('8. Income Statement'!J26*'6. Cash Receipts-Disbursements'!$G$16)+('8. Income Statement'!I26*'6. Cash Receipts-Disbursements'!$G$17)</f>
        <v>0</v>
      </c>
      <c r="L21" s="280">
        <f>('8. Income Statement'!L26*'6. Cash Receipts-Disbursements'!$G$15)+('8. Income Statement'!K26*'6. Cash Receipts-Disbursements'!$G$16)+('8. Income Statement'!J26*'6. Cash Receipts-Disbursements'!$G$17)</f>
        <v>0</v>
      </c>
      <c r="M21" s="280">
        <f>('8. Income Statement'!M26*'6. Cash Receipts-Disbursements'!$G$15)+('8. Income Statement'!L26*'6. Cash Receipts-Disbursements'!$G$16)+('8. Income Statement'!K26*'6. Cash Receipts-Disbursements'!$G$17)</f>
        <v>0</v>
      </c>
      <c r="N21" s="280">
        <f>('8. Income Statement'!N26*'6. Cash Receipts-Disbursements'!$G$15)+('8. Income Statement'!M26*'6. Cash Receipts-Disbursements'!$G$16)+('8. Income Statement'!L26*'6. Cash Receipts-Disbursements'!$G$17)</f>
        <v>0</v>
      </c>
      <c r="O21" s="280">
        <f>('8. Income Statement'!O26*'6. Cash Receipts-Disbursements'!$G$15)+('8. Income Statement'!N26*'6. Cash Receipts-Disbursements'!$G$16)+('8. Income Statement'!M26*'6. Cash Receipts-Disbursements'!$G$17)</f>
        <v>0</v>
      </c>
      <c r="P21" s="280">
        <f>('8. Income Statement'!P26*'6. Cash Receipts-Disbursements'!$G$15)+('8. Income Statement'!O26*'6. Cash Receipts-Disbursements'!$G$16)+('8. Income Statement'!N26*'6. Cash Receipts-Disbursements'!$G$17)</f>
        <v>0</v>
      </c>
      <c r="Q21" s="280">
        <f>SUM(E21:P21)</f>
        <v>0</v>
      </c>
    </row>
    <row r="22" spans="1:17" ht="12.75" customHeight="1">
      <c r="A22" s="85"/>
      <c r="B22" s="85" t="s">
        <v>182</v>
      </c>
      <c r="C22" s="85"/>
      <c r="D22" s="85"/>
      <c r="E22" s="280"/>
      <c r="F22" s="280"/>
      <c r="G22" s="280"/>
      <c r="H22" s="280"/>
      <c r="I22" s="280"/>
      <c r="J22" s="280"/>
      <c r="K22" s="280"/>
      <c r="L22" s="280"/>
      <c r="M22" s="280"/>
      <c r="N22" s="280"/>
      <c r="O22" s="280"/>
      <c r="P22" s="280"/>
      <c r="Q22" s="280"/>
    </row>
    <row r="23" spans="1:17" ht="12.75" customHeight="1">
      <c r="A23" s="85"/>
      <c r="B23" s="85"/>
      <c r="C23" s="85" t="str">
        <f>'8. Income Statement'!A30</f>
        <v>Salaries and Wages</v>
      </c>
      <c r="D23" s="85"/>
      <c r="E23" s="280">
        <f>'8. Income Statement'!E37</f>
        <v>0</v>
      </c>
      <c r="F23" s="280">
        <f>'8. Income Statement'!F37</f>
        <v>0</v>
      </c>
      <c r="G23" s="280">
        <f>'8. Income Statement'!G37</f>
        <v>0</v>
      </c>
      <c r="H23" s="280">
        <f>'8. Income Statement'!H37</f>
        <v>0</v>
      </c>
      <c r="I23" s="280">
        <f>'8. Income Statement'!I37</f>
        <v>0</v>
      </c>
      <c r="J23" s="280">
        <f>'8. Income Statement'!J37</f>
        <v>0</v>
      </c>
      <c r="K23" s="280">
        <f>'8. Income Statement'!K37</f>
        <v>0</v>
      </c>
      <c r="L23" s="280">
        <f>'8. Income Statement'!L37</f>
        <v>0</v>
      </c>
      <c r="M23" s="280">
        <f>'8. Income Statement'!M37</f>
        <v>0</v>
      </c>
      <c r="N23" s="280">
        <f>'8. Income Statement'!N37</f>
        <v>0</v>
      </c>
      <c r="O23" s="280">
        <f>'8. Income Statement'!O37</f>
        <v>0</v>
      </c>
      <c r="P23" s="280">
        <f>'8. Income Statement'!P37</f>
        <v>0</v>
      </c>
      <c r="Q23" s="280">
        <f>SUM(E23:P23)</f>
        <v>0</v>
      </c>
    </row>
    <row r="24" spans="1:17" ht="12.75" customHeight="1">
      <c r="A24" s="85"/>
      <c r="B24" s="85"/>
      <c r="C24" s="85" t="str">
        <f>'8. Income Statement'!A39</f>
        <v>Fixed Operating Expenses</v>
      </c>
      <c r="D24" s="85"/>
      <c r="E24" s="280">
        <f>'8. Income Statement'!E60</f>
        <v>0</v>
      </c>
      <c r="F24" s="280">
        <f>'8. Income Statement'!F60</f>
        <v>0</v>
      </c>
      <c r="G24" s="280">
        <f>'8. Income Statement'!G60</f>
        <v>0</v>
      </c>
      <c r="H24" s="280">
        <f>'8. Income Statement'!H60</f>
        <v>0</v>
      </c>
      <c r="I24" s="280">
        <f>'8. Income Statement'!I60</f>
        <v>0</v>
      </c>
      <c r="J24" s="280">
        <f>'8. Income Statement'!J60</f>
        <v>0</v>
      </c>
      <c r="K24" s="280">
        <f>'8. Income Statement'!K60</f>
        <v>0</v>
      </c>
      <c r="L24" s="280">
        <f>'8. Income Statement'!L60</f>
        <v>0</v>
      </c>
      <c r="M24" s="280">
        <f>'8. Income Statement'!M60</f>
        <v>0</v>
      </c>
      <c r="N24" s="280">
        <f>'8. Income Statement'!N60</f>
        <v>0</v>
      </c>
      <c r="O24" s="280">
        <f>'8. Income Statement'!O60</f>
        <v>0</v>
      </c>
      <c r="P24" s="280">
        <f>'8. Income Statement'!P60</f>
        <v>0</v>
      </c>
      <c r="Q24" s="280">
        <f t="shared" ref="Q24:Q30" si="2">SUM(E24:P24)</f>
        <v>0</v>
      </c>
    </row>
    <row r="25" spans="1:17" ht="12.75" customHeight="1">
      <c r="A25" s="85"/>
      <c r="B25" s="85"/>
      <c r="C25" s="85" t="s">
        <v>188</v>
      </c>
      <c r="D25" s="85"/>
      <c r="E25" s="280">
        <v>0</v>
      </c>
      <c r="F25" s="280">
        <v>0</v>
      </c>
      <c r="G25" s="280">
        <f>SUM('8. Income Statement'!E73:G73)</f>
        <v>0</v>
      </c>
      <c r="H25" s="280">
        <v>0</v>
      </c>
      <c r="I25" s="280">
        <v>0</v>
      </c>
      <c r="J25" s="280">
        <f>SUM('8. Income Statement'!H73:J73)</f>
        <v>0</v>
      </c>
      <c r="K25" s="280">
        <v>0</v>
      </c>
      <c r="L25" s="280">
        <v>0</v>
      </c>
      <c r="M25" s="280">
        <f>SUM('8. Income Statement'!K73:M73)</f>
        <v>0</v>
      </c>
      <c r="N25" s="280">
        <v>0</v>
      </c>
      <c r="O25" s="280">
        <v>0</v>
      </c>
      <c r="P25" s="280">
        <f>SUM('8. Income Statement'!N73:P73)</f>
        <v>0</v>
      </c>
      <c r="Q25" s="280">
        <f t="shared" si="2"/>
        <v>0</v>
      </c>
    </row>
    <row r="26" spans="1:17" ht="12.75" customHeight="1">
      <c r="A26" s="85"/>
      <c r="B26" s="85" t="s">
        <v>183</v>
      </c>
      <c r="C26" s="85"/>
      <c r="D26" s="85"/>
      <c r="E26" s="280"/>
      <c r="F26" s="280"/>
      <c r="G26" s="280"/>
      <c r="H26" s="280"/>
      <c r="I26" s="280"/>
      <c r="J26" s="280"/>
      <c r="K26" s="280"/>
      <c r="L26" s="280"/>
      <c r="M26" s="280"/>
      <c r="N26" s="280"/>
      <c r="O26" s="280"/>
      <c r="P26" s="280"/>
      <c r="Q26" s="280">
        <f t="shared" si="2"/>
        <v>0</v>
      </c>
    </row>
    <row r="27" spans="1:17" ht="12.75" customHeight="1">
      <c r="A27" s="85"/>
      <c r="B27" s="85"/>
      <c r="C27" s="85" t="s">
        <v>184</v>
      </c>
      <c r="D27" s="85"/>
      <c r="E27" s="280">
        <f>+'1. Required Start-Up Funds'!$L$50-'1. Required Start-Up Funds'!$L$44+'20. Debt Amoritization Schedule'!G95+'20. Debt Amoritization Schedule'!G96</f>
        <v>0</v>
      </c>
      <c r="F27" s="280">
        <f>+'1. Required Start-Up Funds'!$L$50-'1. Required Start-Up Funds'!$L$44+'20. Debt Amoritization Schedule'!H95+'20. Debt Amoritization Schedule'!H96</f>
        <v>0</v>
      </c>
      <c r="G27" s="280">
        <f>+'1. Required Start-Up Funds'!$L$50-'1. Required Start-Up Funds'!$L$44+'20. Debt Amoritization Schedule'!I95+'20. Debt Amoritization Schedule'!I96</f>
        <v>0</v>
      </c>
      <c r="H27" s="280">
        <f>+'1. Required Start-Up Funds'!$L$50-'1. Required Start-Up Funds'!$L$44+'20. Debt Amoritization Schedule'!J95+'20. Debt Amoritization Schedule'!J96</f>
        <v>0</v>
      </c>
      <c r="I27" s="280">
        <f>+'1. Required Start-Up Funds'!$L$50-'1. Required Start-Up Funds'!$L$44+'20. Debt Amoritization Schedule'!K95+'20. Debt Amoritization Schedule'!K96</f>
        <v>0</v>
      </c>
      <c r="J27" s="280">
        <f>+'1. Required Start-Up Funds'!$L$50-'1. Required Start-Up Funds'!$L$44+'20. Debt Amoritization Schedule'!L95+'20. Debt Amoritization Schedule'!L96</f>
        <v>0</v>
      </c>
      <c r="K27" s="280">
        <f>+'1. Required Start-Up Funds'!$L$50-'1. Required Start-Up Funds'!$L$44+'20. Debt Amoritization Schedule'!M95+'20. Debt Amoritization Schedule'!M96</f>
        <v>0</v>
      </c>
      <c r="L27" s="280">
        <f>+'1. Required Start-Up Funds'!$L$50-'1. Required Start-Up Funds'!$L$44+'20. Debt Amoritization Schedule'!N95+'20. Debt Amoritization Schedule'!N96</f>
        <v>0</v>
      </c>
      <c r="M27" s="280">
        <f>+'1. Required Start-Up Funds'!$L$50-'1. Required Start-Up Funds'!$L$44+'20. Debt Amoritization Schedule'!O95+'20. Debt Amoritization Schedule'!O96</f>
        <v>0</v>
      </c>
      <c r="N27" s="280">
        <f>+'1. Required Start-Up Funds'!$L$50-'1. Required Start-Up Funds'!$L$44+'20. Debt Amoritization Schedule'!P95+'20. Debt Amoritization Schedule'!P96</f>
        <v>0</v>
      </c>
      <c r="O27" s="280">
        <f>+'1. Required Start-Up Funds'!$L$50-'1. Required Start-Up Funds'!$L$44+'20. Debt Amoritization Schedule'!Q95+'20. Debt Amoritization Schedule'!Q96</f>
        <v>0</v>
      </c>
      <c r="P27" s="280">
        <f>+'1. Required Start-Up Funds'!$L$50-'1. Required Start-Up Funds'!$L$44+'20. Debt Amoritization Schedule'!R95+'20. Debt Amoritization Schedule'!R96</f>
        <v>0</v>
      </c>
      <c r="Q27" s="280">
        <f t="shared" si="2"/>
        <v>0</v>
      </c>
    </row>
    <row r="28" spans="1:17" ht="12.75" customHeight="1">
      <c r="A28" s="85"/>
      <c r="B28" s="85"/>
      <c r="C28" s="85" t="s">
        <v>185</v>
      </c>
      <c r="D28" s="85"/>
      <c r="E28" s="280">
        <v>0</v>
      </c>
      <c r="F28" s="280">
        <f>('6. Cash Receipts-Disbursements'!$G$22/12)*E42</f>
        <v>0</v>
      </c>
      <c r="G28" s="280">
        <f>('6. Cash Receipts-Disbursements'!$G$22/12)*F42</f>
        <v>0</v>
      </c>
      <c r="H28" s="280">
        <f>('6. Cash Receipts-Disbursements'!$G$22/12)*G42</f>
        <v>0</v>
      </c>
      <c r="I28" s="280">
        <f>('6. Cash Receipts-Disbursements'!$G$22/12)*H42</f>
        <v>0</v>
      </c>
      <c r="J28" s="280">
        <f>('6. Cash Receipts-Disbursements'!$G$22/12)*I42</f>
        <v>0</v>
      </c>
      <c r="K28" s="280">
        <f>('6. Cash Receipts-Disbursements'!$G$22/12)*J42</f>
        <v>0</v>
      </c>
      <c r="L28" s="280">
        <f>('6. Cash Receipts-Disbursements'!$G$22/12)*K42</f>
        <v>0</v>
      </c>
      <c r="M28" s="280">
        <f>('6. Cash Receipts-Disbursements'!$G$22/12)*L42</f>
        <v>0</v>
      </c>
      <c r="N28" s="280">
        <f>('6. Cash Receipts-Disbursements'!$G$22/12)*M42</f>
        <v>0</v>
      </c>
      <c r="O28" s="280">
        <f>('6. Cash Receipts-Disbursements'!$G$22/12)*N42</f>
        <v>0</v>
      </c>
      <c r="P28" s="280">
        <f>('6. Cash Receipts-Disbursements'!$G$22/12)*O42</f>
        <v>0</v>
      </c>
      <c r="Q28" s="280">
        <f t="shared" si="2"/>
        <v>0</v>
      </c>
    </row>
    <row r="29" spans="1:17" ht="12.75" customHeight="1">
      <c r="A29" s="85"/>
      <c r="B29" s="85"/>
      <c r="C29" s="85" t="s">
        <v>186</v>
      </c>
      <c r="D29" s="85"/>
      <c r="E29" s="398">
        <v>0</v>
      </c>
      <c r="F29" s="398">
        <v>0</v>
      </c>
      <c r="G29" s="398">
        <v>0</v>
      </c>
      <c r="H29" s="398">
        <v>0</v>
      </c>
      <c r="I29" s="398">
        <v>0</v>
      </c>
      <c r="J29" s="398">
        <v>0</v>
      </c>
      <c r="K29" s="398">
        <v>0</v>
      </c>
      <c r="L29" s="398">
        <v>0</v>
      </c>
      <c r="M29" s="398">
        <v>0</v>
      </c>
      <c r="N29" s="398">
        <v>0</v>
      </c>
      <c r="O29" s="398">
        <v>0</v>
      </c>
      <c r="P29" s="398">
        <v>0</v>
      </c>
      <c r="Q29" s="280">
        <v>0</v>
      </c>
    </row>
    <row r="30" spans="1:17" ht="12.75" customHeight="1" thickBot="1">
      <c r="A30" s="1"/>
      <c r="B30" s="1"/>
      <c r="C30" s="1" t="s">
        <v>187</v>
      </c>
      <c r="E30" s="399">
        <v>0</v>
      </c>
      <c r="F30" s="399">
        <v>0</v>
      </c>
      <c r="G30" s="399">
        <v>0</v>
      </c>
      <c r="H30" s="399">
        <v>0</v>
      </c>
      <c r="I30" s="399">
        <v>0</v>
      </c>
      <c r="J30" s="399">
        <v>0</v>
      </c>
      <c r="K30" s="399">
        <v>0</v>
      </c>
      <c r="L30" s="399">
        <v>0</v>
      </c>
      <c r="M30" s="399">
        <v>0</v>
      </c>
      <c r="N30" s="399">
        <v>0</v>
      </c>
      <c r="O30" s="399">
        <v>0</v>
      </c>
      <c r="P30" s="399">
        <v>0</v>
      </c>
      <c r="Q30" s="281">
        <f t="shared" si="2"/>
        <v>0</v>
      </c>
    </row>
    <row r="31" spans="1:17" ht="12.75" customHeight="1">
      <c r="A31" s="1" t="s">
        <v>189</v>
      </c>
      <c r="B31" s="1"/>
      <c r="C31" s="1"/>
      <c r="E31" s="269">
        <f>SUM(E19:E30)-E21-E20+E51+E52+E55</f>
        <v>0</v>
      </c>
      <c r="F31" s="269">
        <f t="shared" ref="F31:P31" si="3">SUM(F19:F30)-F21-F20+F51+F52+F55</f>
        <v>0</v>
      </c>
      <c r="G31" s="269">
        <f t="shared" si="3"/>
        <v>0</v>
      </c>
      <c r="H31" s="269">
        <f t="shared" si="3"/>
        <v>0</v>
      </c>
      <c r="I31" s="269">
        <f t="shared" si="3"/>
        <v>0</v>
      </c>
      <c r="J31" s="269">
        <f t="shared" si="3"/>
        <v>0</v>
      </c>
      <c r="K31" s="269">
        <f t="shared" si="3"/>
        <v>0</v>
      </c>
      <c r="L31" s="269">
        <f t="shared" si="3"/>
        <v>0</v>
      </c>
      <c r="M31" s="269">
        <f t="shared" si="3"/>
        <v>0</v>
      </c>
      <c r="N31" s="269">
        <f t="shared" si="3"/>
        <v>0</v>
      </c>
      <c r="O31" s="269">
        <f t="shared" si="3"/>
        <v>0</v>
      </c>
      <c r="P31" s="269">
        <f t="shared" si="3"/>
        <v>0</v>
      </c>
      <c r="Q31" s="269">
        <f>SUM(Q19:Q30)</f>
        <v>0</v>
      </c>
    </row>
    <row r="32" spans="1:17" ht="12.75" customHeight="1">
      <c r="A32" s="1"/>
      <c r="B32" s="1"/>
      <c r="C32" s="1"/>
      <c r="E32" s="269"/>
      <c r="F32" s="269"/>
      <c r="G32" s="269"/>
      <c r="H32" s="269"/>
      <c r="I32" s="269"/>
      <c r="J32" s="269"/>
      <c r="K32" s="269"/>
      <c r="L32" s="269"/>
      <c r="M32" s="269"/>
      <c r="N32" s="269"/>
      <c r="O32" s="269"/>
      <c r="P32" s="269"/>
      <c r="Q32" s="269"/>
    </row>
    <row r="33" spans="1:17" ht="12.75" customHeight="1">
      <c r="A33" s="1" t="s">
        <v>191</v>
      </c>
      <c r="B33" s="1"/>
      <c r="C33" s="1"/>
      <c r="E33" s="269">
        <f>E15-E31</f>
        <v>0</v>
      </c>
      <c r="F33" s="269">
        <f t="shared" ref="F33:P33" si="4">F15-F31</f>
        <v>0</v>
      </c>
      <c r="G33" s="269">
        <f t="shared" si="4"/>
        <v>0</v>
      </c>
      <c r="H33" s="269">
        <f t="shared" si="4"/>
        <v>0</v>
      </c>
      <c r="I33" s="269">
        <f t="shared" si="4"/>
        <v>0</v>
      </c>
      <c r="J33" s="269">
        <f t="shared" si="4"/>
        <v>0</v>
      </c>
      <c r="K33" s="269">
        <f t="shared" si="4"/>
        <v>0</v>
      </c>
      <c r="L33" s="269">
        <f t="shared" si="4"/>
        <v>0</v>
      </c>
      <c r="M33" s="269">
        <f t="shared" si="4"/>
        <v>0</v>
      </c>
      <c r="N33" s="269">
        <f t="shared" si="4"/>
        <v>0</v>
      </c>
      <c r="O33" s="269">
        <f t="shared" si="4"/>
        <v>0</v>
      </c>
      <c r="P33" s="269">
        <f t="shared" si="4"/>
        <v>0</v>
      </c>
      <c r="Q33" s="269">
        <f>SUM(E33:P33)</f>
        <v>0</v>
      </c>
    </row>
    <row r="34" spans="1:17" ht="12.75" customHeight="1">
      <c r="A34" s="1"/>
      <c r="B34" s="1"/>
      <c r="C34" s="1"/>
      <c r="E34" s="269"/>
      <c r="F34" s="269"/>
      <c r="G34" s="269"/>
      <c r="H34" s="269"/>
      <c r="I34" s="269"/>
      <c r="J34" s="269"/>
      <c r="K34" s="269"/>
      <c r="L34" s="269"/>
      <c r="M34" s="269"/>
      <c r="N34" s="269"/>
      <c r="O34" s="269"/>
      <c r="P34" s="269"/>
      <c r="Q34" s="269"/>
    </row>
    <row r="35" spans="1:17" ht="12.75" customHeight="1" thickBot="1">
      <c r="A35" s="1" t="s">
        <v>190</v>
      </c>
      <c r="B35" s="1"/>
      <c r="C35" s="1"/>
      <c r="E35" s="281">
        <f t="shared" ref="E35:P35" si="5">E8+E33</f>
        <v>0</v>
      </c>
      <c r="F35" s="281">
        <f t="shared" si="5"/>
        <v>0</v>
      </c>
      <c r="G35" s="281">
        <f t="shared" si="5"/>
        <v>0</v>
      </c>
      <c r="H35" s="281">
        <f t="shared" si="5"/>
        <v>0</v>
      </c>
      <c r="I35" s="281">
        <f t="shared" si="5"/>
        <v>0</v>
      </c>
      <c r="J35" s="281">
        <f t="shared" si="5"/>
        <v>0</v>
      </c>
      <c r="K35" s="281">
        <f t="shared" si="5"/>
        <v>0</v>
      </c>
      <c r="L35" s="281">
        <f t="shared" si="5"/>
        <v>0</v>
      </c>
      <c r="M35" s="281">
        <f t="shared" si="5"/>
        <v>0</v>
      </c>
      <c r="N35" s="281">
        <f t="shared" si="5"/>
        <v>0</v>
      </c>
      <c r="O35" s="281">
        <f t="shared" si="5"/>
        <v>0</v>
      </c>
      <c r="P35" s="281">
        <f t="shared" si="5"/>
        <v>0</v>
      </c>
      <c r="Q35" s="281"/>
    </row>
    <row r="36" spans="1:17" ht="12.75" customHeight="1">
      <c r="A36" s="1"/>
      <c r="B36" s="1"/>
      <c r="C36" s="1"/>
      <c r="E36" s="269"/>
      <c r="F36" s="269"/>
      <c r="G36" s="269"/>
      <c r="H36" s="269"/>
      <c r="I36" s="269"/>
      <c r="J36" s="269"/>
      <c r="K36" s="269"/>
      <c r="L36" s="269"/>
      <c r="M36" s="269"/>
      <c r="N36" s="269"/>
      <c r="O36" s="269"/>
      <c r="P36" s="269"/>
      <c r="Q36" s="269"/>
    </row>
    <row r="37" spans="1:17" ht="12.75" customHeight="1">
      <c r="A37" s="1" t="s">
        <v>408</v>
      </c>
      <c r="B37" s="1"/>
      <c r="C37" s="1"/>
      <c r="E37" s="269">
        <f>IF((E35-'6. Cash Receipts-Disbursements'!$G$21)&lt;0,'6. Cash Receipts-Disbursements'!$G$21-'9. Cash Flow Statement'!E35,0)</f>
        <v>0</v>
      </c>
      <c r="F37" s="269">
        <f>IF((F35-'6. Cash Receipts-Disbursements'!$G$21)&lt;0,'6. Cash Receipts-Disbursements'!$G$21-'9. Cash Flow Statement'!F35,0)</f>
        <v>0</v>
      </c>
      <c r="G37" s="269">
        <f>IF((G35-'6. Cash Receipts-Disbursements'!$G$21)&lt;0,'6. Cash Receipts-Disbursements'!$G$21-'9. Cash Flow Statement'!G35,0)</f>
        <v>0</v>
      </c>
      <c r="H37" s="269">
        <f>IF((H35-'6. Cash Receipts-Disbursements'!$G$21)&lt;0,'6. Cash Receipts-Disbursements'!$G$21-'9. Cash Flow Statement'!H35,0)</f>
        <v>0</v>
      </c>
      <c r="I37" s="269">
        <f>IF((I35-'6. Cash Receipts-Disbursements'!$G$21)&lt;0,'6. Cash Receipts-Disbursements'!$G$21-'9. Cash Flow Statement'!I35,0)</f>
        <v>0</v>
      </c>
      <c r="J37" s="269">
        <f>IF((J35-'6. Cash Receipts-Disbursements'!$G$21)&lt;0,'6. Cash Receipts-Disbursements'!$G$21-'9. Cash Flow Statement'!J35,0)</f>
        <v>0</v>
      </c>
      <c r="K37" s="269">
        <f>IF((K35-'6. Cash Receipts-Disbursements'!$G$21)&lt;0,'6. Cash Receipts-Disbursements'!$G$21-'9. Cash Flow Statement'!K35,0)</f>
        <v>0</v>
      </c>
      <c r="L37" s="269">
        <f>IF((L35-'6. Cash Receipts-Disbursements'!$G$21)&lt;0,'6. Cash Receipts-Disbursements'!$G$21-'9. Cash Flow Statement'!L35,0)</f>
        <v>0</v>
      </c>
      <c r="M37" s="269">
        <f>IF((M35-'6. Cash Receipts-Disbursements'!$G$21)&lt;0,'6. Cash Receipts-Disbursements'!$G$21-'9. Cash Flow Statement'!M35,0)</f>
        <v>0</v>
      </c>
      <c r="N37" s="269">
        <f>IF((N35-'6. Cash Receipts-Disbursements'!$G$21)&lt;0,'6. Cash Receipts-Disbursements'!$G$21-'9. Cash Flow Statement'!N35,0)</f>
        <v>0</v>
      </c>
      <c r="O37" s="269">
        <f>IF((O35-'6. Cash Receipts-Disbursements'!$G$21)&lt;0,'6. Cash Receipts-Disbursements'!$G$21-'9. Cash Flow Statement'!O35,0)</f>
        <v>0</v>
      </c>
      <c r="P37" s="269">
        <f>IF((P35-'6. Cash Receipts-Disbursements'!$G$21)&lt;0,'6. Cash Receipts-Disbursements'!$G$21-'9. Cash Flow Statement'!P35,0)</f>
        <v>0</v>
      </c>
      <c r="Q37" s="269">
        <f>SUM(E37:P37)</f>
        <v>0</v>
      </c>
    </row>
    <row r="38" spans="1:17" ht="12.75" customHeight="1" thickBot="1">
      <c r="A38" s="1"/>
      <c r="B38" s="1"/>
      <c r="C38" s="1"/>
      <c r="E38" s="281"/>
      <c r="F38" s="281"/>
      <c r="G38" s="281"/>
      <c r="H38" s="281"/>
      <c r="I38" s="281"/>
      <c r="J38" s="281"/>
      <c r="K38" s="281"/>
      <c r="L38" s="281"/>
      <c r="M38" s="281"/>
      <c r="N38" s="281"/>
      <c r="O38" s="281"/>
      <c r="P38" s="281"/>
      <c r="Q38" s="281"/>
    </row>
    <row r="39" spans="1:17" ht="15.75" customHeight="1" thickBot="1">
      <c r="A39" s="1" t="s">
        <v>193</v>
      </c>
      <c r="B39" s="1"/>
      <c r="C39" s="1"/>
      <c r="E39" s="290">
        <f>E35+E37</f>
        <v>0</v>
      </c>
      <c r="F39" s="290">
        <f t="shared" ref="F39:P39" si="6">F35+F37-F67</f>
        <v>0</v>
      </c>
      <c r="G39" s="290">
        <f t="shared" si="6"/>
        <v>0</v>
      </c>
      <c r="H39" s="290">
        <f t="shared" si="6"/>
        <v>0</v>
      </c>
      <c r="I39" s="290">
        <f t="shared" si="6"/>
        <v>0</v>
      </c>
      <c r="J39" s="290">
        <f t="shared" si="6"/>
        <v>0</v>
      </c>
      <c r="K39" s="290">
        <f t="shared" si="6"/>
        <v>0</v>
      </c>
      <c r="L39" s="290">
        <f t="shared" si="6"/>
        <v>0</v>
      </c>
      <c r="M39" s="290">
        <f t="shared" si="6"/>
        <v>0</v>
      </c>
      <c r="N39" s="290">
        <f t="shared" si="6"/>
        <v>0</v>
      </c>
      <c r="O39" s="290">
        <f t="shared" si="6"/>
        <v>0</v>
      </c>
      <c r="P39" s="290">
        <f t="shared" si="6"/>
        <v>0</v>
      </c>
      <c r="Q39" s="290"/>
    </row>
    <row r="40" spans="1:17" ht="12.75" customHeight="1" thickTop="1">
      <c r="A40" s="1"/>
      <c r="B40" s="1"/>
      <c r="C40" s="1"/>
      <c r="E40" s="269"/>
      <c r="F40" s="269"/>
      <c r="G40" s="269"/>
      <c r="H40" s="269"/>
      <c r="I40" s="269"/>
      <c r="J40" s="269"/>
      <c r="K40" s="269"/>
      <c r="L40" s="269"/>
      <c r="M40" s="269"/>
      <c r="N40" s="269"/>
      <c r="O40" s="269"/>
      <c r="P40" s="269"/>
      <c r="Q40" s="269"/>
    </row>
    <row r="41" spans="1:17" ht="12.75" customHeight="1">
      <c r="A41" s="1"/>
      <c r="B41" s="1"/>
      <c r="C41" s="1"/>
      <c r="E41" s="269"/>
      <c r="F41" s="269"/>
      <c r="G41" s="269"/>
      <c r="H41" s="269"/>
      <c r="I41" s="269"/>
      <c r="J41" s="269"/>
      <c r="K41" s="269"/>
      <c r="L41" s="269"/>
      <c r="M41" s="269"/>
      <c r="N41" s="269"/>
      <c r="O41" s="269"/>
      <c r="P41" s="269"/>
      <c r="Q41" s="269"/>
    </row>
    <row r="42" spans="1:17" ht="12.75" customHeight="1">
      <c r="A42" s="1" t="s">
        <v>406</v>
      </c>
      <c r="B42" s="1"/>
      <c r="C42" s="1"/>
      <c r="E42" s="150">
        <f>E37</f>
        <v>0</v>
      </c>
      <c r="F42" s="150">
        <f>IF((E42+F37-F29-F45)&gt;0,E42+F37+F29-F45,0)</f>
        <v>0</v>
      </c>
      <c r="G42" s="150">
        <f t="shared" ref="G42:P42" si="7">IF((F42+G37-G29-G45)&gt;0,F42+G37+G29-G45,0)</f>
        <v>0</v>
      </c>
      <c r="H42" s="150">
        <f t="shared" si="7"/>
        <v>0</v>
      </c>
      <c r="I42" s="150">
        <f t="shared" si="7"/>
        <v>0</v>
      </c>
      <c r="J42" s="150">
        <f t="shared" si="7"/>
        <v>0</v>
      </c>
      <c r="K42" s="150">
        <f t="shared" si="7"/>
        <v>0</v>
      </c>
      <c r="L42" s="150">
        <f t="shared" si="7"/>
        <v>0</v>
      </c>
      <c r="M42" s="150">
        <f t="shared" si="7"/>
        <v>0</v>
      </c>
      <c r="N42" s="150">
        <f t="shared" si="7"/>
        <v>0</v>
      </c>
      <c r="O42" s="150">
        <f t="shared" si="7"/>
        <v>0</v>
      </c>
      <c r="P42" s="150">
        <f t="shared" si="7"/>
        <v>0</v>
      </c>
      <c r="Q42" s="280"/>
    </row>
    <row r="43" spans="1:17" ht="12.75" customHeight="1">
      <c r="A43" s="1"/>
      <c r="B43" s="1"/>
      <c r="C43" s="1"/>
    </row>
    <row r="44" spans="1:17" ht="12.75" customHeight="1">
      <c r="A44" s="1"/>
      <c r="B44" s="1"/>
      <c r="C44" s="1"/>
    </row>
    <row r="45" spans="1:17" ht="12.75" customHeight="1">
      <c r="A45" s="1" t="s">
        <v>117</v>
      </c>
      <c r="B45" s="173"/>
      <c r="C45" s="1"/>
      <c r="F45" s="291">
        <f t="shared" ref="F45:P45" si="8">IF(E42-F66&gt;0,F66,E42)</f>
        <v>0</v>
      </c>
      <c r="G45" s="291">
        <f t="shared" si="8"/>
        <v>0</v>
      </c>
      <c r="H45" s="291">
        <f t="shared" si="8"/>
        <v>0</v>
      </c>
      <c r="I45" s="291">
        <f t="shared" si="8"/>
        <v>0</v>
      </c>
      <c r="J45" s="291">
        <f t="shared" si="8"/>
        <v>0</v>
      </c>
      <c r="K45" s="291">
        <f t="shared" si="8"/>
        <v>0</v>
      </c>
      <c r="L45" s="291">
        <f t="shared" si="8"/>
        <v>0</v>
      </c>
      <c r="M45" s="291">
        <f t="shared" si="8"/>
        <v>0</v>
      </c>
      <c r="N45" s="291">
        <f t="shared" si="8"/>
        <v>0</v>
      </c>
      <c r="O45" s="291">
        <f t="shared" si="8"/>
        <v>0</v>
      </c>
      <c r="P45" s="291">
        <f t="shared" si="8"/>
        <v>0</v>
      </c>
    </row>
    <row r="46" spans="1:17" ht="12.75" customHeight="1">
      <c r="A46" s="1"/>
      <c r="B46" s="1"/>
      <c r="C46" s="1"/>
      <c r="E46" s="287"/>
    </row>
    <row r="47" spans="1:17" ht="12.75" customHeight="1">
      <c r="B47" s="1"/>
      <c r="C47" s="1"/>
    </row>
    <row r="48" spans="1:17" ht="12.75" customHeight="1">
      <c r="A48" s="1"/>
      <c r="B48" s="1"/>
      <c r="C48" s="1"/>
    </row>
    <row r="49" spans="1:17" ht="12.75" customHeight="1">
      <c r="A49" s="1" t="s">
        <v>46</v>
      </c>
      <c r="B49" s="1"/>
      <c r="C49" s="1"/>
      <c r="E49" s="269">
        <f>+'1. Required Start-Up Funds'!E20</f>
        <v>0</v>
      </c>
      <c r="F49" s="269">
        <f>+E53</f>
        <v>0</v>
      </c>
      <c r="G49" s="269">
        <f t="shared" ref="G49:P49" si="9">+F53</f>
        <v>0</v>
      </c>
      <c r="H49" s="269">
        <f t="shared" si="9"/>
        <v>0</v>
      </c>
      <c r="I49" s="269">
        <f t="shared" si="9"/>
        <v>0</v>
      </c>
      <c r="J49" s="269">
        <f t="shared" si="9"/>
        <v>0</v>
      </c>
      <c r="K49" s="269">
        <f t="shared" si="9"/>
        <v>0</v>
      </c>
      <c r="L49" s="269">
        <f t="shared" si="9"/>
        <v>0</v>
      </c>
      <c r="M49" s="269">
        <f t="shared" si="9"/>
        <v>0</v>
      </c>
      <c r="N49" s="269">
        <f t="shared" si="9"/>
        <v>0</v>
      </c>
      <c r="O49" s="269">
        <f t="shared" si="9"/>
        <v>0</v>
      </c>
      <c r="P49" s="269">
        <f t="shared" si="9"/>
        <v>0</v>
      </c>
    </row>
    <row r="50" spans="1:17" ht="12.75" customHeight="1">
      <c r="A50" s="1" t="s">
        <v>47</v>
      </c>
      <c r="B50" s="1"/>
      <c r="C50" s="1"/>
      <c r="E50" s="269">
        <f>+E21-'5.Prod 7-20 Unit Sales Forecast'!H389</f>
        <v>0</v>
      </c>
      <c r="F50" s="269">
        <f>+F21-'5.Prod 7-20 Unit Sales Forecast'!I389</f>
        <v>0</v>
      </c>
      <c r="G50" s="269">
        <f>+G21-'5.Prod 7-20 Unit Sales Forecast'!J389</f>
        <v>0</v>
      </c>
      <c r="H50" s="269">
        <f>+H21-'5.Prod 7-20 Unit Sales Forecast'!K389</f>
        <v>0</v>
      </c>
      <c r="I50" s="269">
        <f>+I21-'5.Prod 7-20 Unit Sales Forecast'!L389</f>
        <v>0</v>
      </c>
      <c r="J50" s="269">
        <f>+J21-'5.Prod 7-20 Unit Sales Forecast'!M389</f>
        <v>0</v>
      </c>
      <c r="K50" s="269">
        <f>+K21-'5.Prod 7-20 Unit Sales Forecast'!N389</f>
        <v>0</v>
      </c>
      <c r="L50" s="269">
        <f>+L21-'5.Prod 7-20 Unit Sales Forecast'!O389</f>
        <v>0</v>
      </c>
      <c r="M50" s="269">
        <f>+M21-'5.Prod 7-20 Unit Sales Forecast'!P389</f>
        <v>0</v>
      </c>
      <c r="N50" s="269">
        <f>+N21-'5.Prod 7-20 Unit Sales Forecast'!Q389</f>
        <v>0</v>
      </c>
      <c r="O50" s="269">
        <f>+O21-'5.Prod 7-20 Unit Sales Forecast'!R389</f>
        <v>0</v>
      </c>
      <c r="P50" s="269">
        <f>+P21-'5.Prod 7-20 Unit Sales Forecast'!S389</f>
        <v>0</v>
      </c>
      <c r="Q50" s="287">
        <f>SUM(E50:P50)</f>
        <v>0</v>
      </c>
    </row>
    <row r="51" spans="1:17" ht="12.75" customHeight="1">
      <c r="A51" s="1" t="s">
        <v>48</v>
      </c>
      <c r="B51" s="1"/>
      <c r="C51" s="1"/>
      <c r="E51" s="269">
        <f t="shared" ref="E51:P51" si="10">+E20</f>
        <v>0</v>
      </c>
      <c r="F51" s="269">
        <f t="shared" si="10"/>
        <v>0</v>
      </c>
      <c r="G51" s="269">
        <f t="shared" si="10"/>
        <v>0</v>
      </c>
      <c r="H51" s="269">
        <f t="shared" si="10"/>
        <v>0</v>
      </c>
      <c r="I51" s="269">
        <f t="shared" si="10"/>
        <v>0</v>
      </c>
      <c r="J51" s="269">
        <f t="shared" si="10"/>
        <v>0</v>
      </c>
      <c r="K51" s="269">
        <f t="shared" si="10"/>
        <v>0</v>
      </c>
      <c r="L51" s="269">
        <f t="shared" si="10"/>
        <v>0</v>
      </c>
      <c r="M51" s="269">
        <f t="shared" si="10"/>
        <v>0</v>
      </c>
      <c r="N51" s="269">
        <f t="shared" si="10"/>
        <v>0</v>
      </c>
      <c r="O51" s="269">
        <f t="shared" si="10"/>
        <v>0</v>
      </c>
      <c r="P51" s="269">
        <f t="shared" si="10"/>
        <v>0</v>
      </c>
    </row>
    <row r="52" spans="1:17" ht="12.75" customHeight="1">
      <c r="A52" s="1" t="s">
        <v>49</v>
      </c>
      <c r="B52" s="1"/>
      <c r="C52" s="1"/>
      <c r="E52" s="269">
        <f t="shared" ref="E52:P52" si="11">IF(E49-E50+E51&gt;=mininv,0,mininv-E49+E50-E51)</f>
        <v>0</v>
      </c>
      <c r="F52" s="269">
        <f t="shared" si="11"/>
        <v>0</v>
      </c>
      <c r="G52" s="269">
        <f t="shared" si="11"/>
        <v>0</v>
      </c>
      <c r="H52" s="269">
        <f t="shared" si="11"/>
        <v>0</v>
      </c>
      <c r="I52" s="269">
        <f t="shared" si="11"/>
        <v>0</v>
      </c>
      <c r="J52" s="269">
        <f t="shared" si="11"/>
        <v>0</v>
      </c>
      <c r="K52" s="269">
        <f t="shared" si="11"/>
        <v>0</v>
      </c>
      <c r="L52" s="269">
        <f t="shared" si="11"/>
        <v>0</v>
      </c>
      <c r="M52" s="269">
        <f t="shared" si="11"/>
        <v>0</v>
      </c>
      <c r="N52" s="269">
        <f t="shared" si="11"/>
        <v>0</v>
      </c>
      <c r="O52" s="269">
        <f t="shared" si="11"/>
        <v>0</v>
      </c>
      <c r="P52" s="269">
        <f t="shared" si="11"/>
        <v>0</v>
      </c>
      <c r="Q52" s="287">
        <f>SUM(E52:P52)</f>
        <v>0</v>
      </c>
    </row>
    <row r="53" spans="1:17" ht="12.75" customHeight="1">
      <c r="A53" s="1" t="s">
        <v>50</v>
      </c>
      <c r="B53" s="1"/>
      <c r="C53" s="1"/>
      <c r="E53" s="269">
        <f t="shared" ref="E53:P53" si="12">+E49-E50+E51+E52</f>
        <v>0</v>
      </c>
      <c r="F53" s="269">
        <f t="shared" si="12"/>
        <v>0</v>
      </c>
      <c r="G53" s="269">
        <f t="shared" si="12"/>
        <v>0</v>
      </c>
      <c r="H53" s="269">
        <f t="shared" si="12"/>
        <v>0</v>
      </c>
      <c r="I53" s="269">
        <f t="shared" si="12"/>
        <v>0</v>
      </c>
      <c r="J53" s="269">
        <f t="shared" si="12"/>
        <v>0</v>
      </c>
      <c r="K53" s="269">
        <f t="shared" si="12"/>
        <v>0</v>
      </c>
      <c r="L53" s="269">
        <f t="shared" si="12"/>
        <v>0</v>
      </c>
      <c r="M53" s="269">
        <f t="shared" si="12"/>
        <v>0</v>
      </c>
      <c r="N53" s="269">
        <f t="shared" si="12"/>
        <v>0</v>
      </c>
      <c r="O53" s="269">
        <f t="shared" si="12"/>
        <v>0</v>
      </c>
      <c r="P53" s="269">
        <f t="shared" si="12"/>
        <v>0</v>
      </c>
    </row>
    <row r="54" spans="1:17" ht="12.75" customHeight="1">
      <c r="A54" s="1"/>
      <c r="B54" s="1"/>
      <c r="C54" s="1"/>
    </row>
    <row r="55" spans="1:17" ht="12.75" customHeight="1">
      <c r="A55" s="6" t="s">
        <v>384</v>
      </c>
      <c r="E55" s="287">
        <f>+E21-E50</f>
        <v>0</v>
      </c>
      <c r="F55" s="287">
        <f t="shared" ref="F55:P55" si="13">+F21-F50</f>
        <v>0</v>
      </c>
      <c r="G55" s="287">
        <f t="shared" si="13"/>
        <v>0</v>
      </c>
      <c r="H55" s="287">
        <f t="shared" si="13"/>
        <v>0</v>
      </c>
      <c r="I55" s="287">
        <f t="shared" si="13"/>
        <v>0</v>
      </c>
      <c r="J55" s="287">
        <f t="shared" si="13"/>
        <v>0</v>
      </c>
      <c r="K55" s="287">
        <f t="shared" si="13"/>
        <v>0</v>
      </c>
      <c r="L55" s="287">
        <f t="shared" si="13"/>
        <v>0</v>
      </c>
      <c r="M55" s="287">
        <f t="shared" si="13"/>
        <v>0</v>
      </c>
      <c r="N55" s="287">
        <f t="shared" si="13"/>
        <v>0</v>
      </c>
      <c r="O55" s="287">
        <f t="shared" si="13"/>
        <v>0</v>
      </c>
      <c r="P55" s="287">
        <f t="shared" si="13"/>
        <v>0</v>
      </c>
    </row>
    <row r="56" spans="1:17" ht="12.75" customHeight="1">
      <c r="E56" s="85"/>
      <c r="F56" s="85"/>
      <c r="G56" s="85"/>
      <c r="H56" s="85"/>
      <c r="I56" s="85"/>
      <c r="J56" s="85"/>
      <c r="K56" s="85"/>
      <c r="L56" s="85"/>
      <c r="M56" s="85"/>
      <c r="N56" s="85"/>
      <c r="O56" s="85"/>
      <c r="P56" s="85"/>
      <c r="Q56" s="85"/>
    </row>
    <row r="57" spans="1:17" ht="12.75" customHeight="1">
      <c r="E57" s="85"/>
      <c r="F57" s="85"/>
      <c r="G57" s="85"/>
      <c r="H57" s="85"/>
      <c r="I57" s="85"/>
      <c r="J57" s="85"/>
      <c r="K57" s="85"/>
      <c r="L57" s="85"/>
      <c r="M57" s="85"/>
      <c r="N57" s="85"/>
      <c r="O57" s="85"/>
      <c r="P57" s="85"/>
      <c r="Q57" s="85"/>
    </row>
    <row r="58" spans="1:17" ht="12.75" customHeight="1">
      <c r="E58" s="85"/>
      <c r="F58" s="85"/>
      <c r="G58" s="85"/>
      <c r="H58" s="85"/>
      <c r="I58" s="85"/>
      <c r="J58" s="85"/>
      <c r="K58" s="85"/>
      <c r="L58" s="85"/>
      <c r="M58" s="85"/>
      <c r="N58" s="85"/>
      <c r="O58" s="85"/>
      <c r="P58" s="85"/>
      <c r="Q58" s="85"/>
    </row>
    <row r="59" spans="1:17" ht="12.75" customHeight="1">
      <c r="D59" s="6"/>
      <c r="E59" s="85"/>
      <c r="F59" s="85"/>
      <c r="G59" s="85"/>
      <c r="H59" s="85"/>
      <c r="I59" s="85"/>
      <c r="J59" s="85"/>
      <c r="K59" s="85"/>
      <c r="L59" s="85"/>
      <c r="M59" s="85"/>
      <c r="N59" s="85"/>
      <c r="O59" s="85"/>
      <c r="P59" s="85"/>
      <c r="Q59" s="85"/>
    </row>
    <row r="60" spans="1:17" ht="12.75" customHeight="1">
      <c r="D60" s="6"/>
      <c r="E60" s="85"/>
      <c r="F60" s="85"/>
      <c r="G60" s="85"/>
      <c r="H60" s="85"/>
      <c r="I60" s="85"/>
      <c r="J60" s="85"/>
      <c r="K60" s="85"/>
      <c r="L60" s="85"/>
      <c r="M60" s="85"/>
      <c r="N60" s="85"/>
      <c r="O60" s="85"/>
      <c r="P60" s="85"/>
      <c r="Q60" s="85"/>
    </row>
    <row r="61" spans="1:17" ht="12.75" customHeight="1">
      <c r="D61" s="6"/>
      <c r="E61" s="85"/>
      <c r="F61" s="85"/>
      <c r="G61" s="85"/>
      <c r="H61" s="85"/>
      <c r="I61" s="85"/>
      <c r="J61" s="85"/>
      <c r="K61" s="85"/>
      <c r="L61" s="85"/>
      <c r="M61" s="85"/>
      <c r="N61" s="85"/>
      <c r="O61" s="85"/>
      <c r="P61" s="85"/>
      <c r="Q61" s="85"/>
    </row>
    <row r="62" spans="1:17" ht="12.75" customHeight="1">
      <c r="A62" s="6" t="s">
        <v>6</v>
      </c>
      <c r="D62" s="6"/>
      <c r="E62" s="85"/>
      <c r="F62" s="280">
        <f t="shared" ref="F62:P62" si="14">IF(E42&gt;0,E42,0)</f>
        <v>0</v>
      </c>
      <c r="G62" s="280">
        <f t="shared" si="14"/>
        <v>0</v>
      </c>
      <c r="H62" s="280">
        <f t="shared" si="14"/>
        <v>0</v>
      </c>
      <c r="I62" s="280">
        <f t="shared" si="14"/>
        <v>0</v>
      </c>
      <c r="J62" s="280">
        <f t="shared" si="14"/>
        <v>0</v>
      </c>
      <c r="K62" s="280">
        <f t="shared" si="14"/>
        <v>0</v>
      </c>
      <c r="L62" s="280">
        <f t="shared" si="14"/>
        <v>0</v>
      </c>
      <c r="M62" s="280">
        <f t="shared" si="14"/>
        <v>0</v>
      </c>
      <c r="N62" s="280">
        <f t="shared" si="14"/>
        <v>0</v>
      </c>
      <c r="O62" s="280">
        <f t="shared" si="14"/>
        <v>0</v>
      </c>
      <c r="P62" s="280">
        <f t="shared" si="14"/>
        <v>0</v>
      </c>
      <c r="Q62" s="85"/>
    </row>
    <row r="63" spans="1:17" ht="12.75" customHeight="1">
      <c r="F63" s="269"/>
      <c r="G63" s="269"/>
      <c r="H63" s="269"/>
      <c r="I63" s="269"/>
      <c r="J63" s="269"/>
      <c r="K63" s="269"/>
      <c r="L63" s="269"/>
      <c r="M63" s="269"/>
      <c r="N63" s="269"/>
      <c r="O63" s="269"/>
      <c r="P63" s="269"/>
      <c r="Q63" s="85"/>
    </row>
    <row r="64" spans="1:17" ht="12.75" customHeight="1">
      <c r="A64" s="6" t="s">
        <v>3</v>
      </c>
      <c r="E64" s="85"/>
      <c r="F64" s="280">
        <f t="shared" ref="F64:P64" si="15">IF(F62&gt;0,(IF(F33&gt;0, F33,0)),0)</f>
        <v>0</v>
      </c>
      <c r="G64" s="280">
        <f t="shared" si="15"/>
        <v>0</v>
      </c>
      <c r="H64" s="280">
        <f t="shared" si="15"/>
        <v>0</v>
      </c>
      <c r="I64" s="280">
        <f t="shared" si="15"/>
        <v>0</v>
      </c>
      <c r="J64" s="280">
        <f t="shared" si="15"/>
        <v>0</v>
      </c>
      <c r="K64" s="280">
        <f t="shared" si="15"/>
        <v>0</v>
      </c>
      <c r="L64" s="280">
        <f t="shared" si="15"/>
        <v>0</v>
      </c>
      <c r="M64" s="280">
        <f t="shared" si="15"/>
        <v>0</v>
      </c>
      <c r="N64" s="280">
        <f t="shared" si="15"/>
        <v>0</v>
      </c>
      <c r="O64" s="280">
        <f t="shared" si="15"/>
        <v>0</v>
      </c>
      <c r="P64" s="280">
        <f t="shared" si="15"/>
        <v>0</v>
      </c>
      <c r="Q64" s="85"/>
    </row>
    <row r="65" spans="1:17" ht="12.75" customHeight="1">
      <c r="A65" s="6" t="s">
        <v>4</v>
      </c>
      <c r="E65" s="85"/>
      <c r="F65" s="280">
        <f t="shared" ref="F65:P65" si="16">IF(F64&gt;0,(IF(MinCash&gt;0,F35-MinCash,F33)),0)</f>
        <v>0</v>
      </c>
      <c r="G65" s="280">
        <f t="shared" si="16"/>
        <v>0</v>
      </c>
      <c r="H65" s="280">
        <f t="shared" si="16"/>
        <v>0</v>
      </c>
      <c r="I65" s="280">
        <f t="shared" si="16"/>
        <v>0</v>
      </c>
      <c r="J65" s="280">
        <f t="shared" si="16"/>
        <v>0</v>
      </c>
      <c r="K65" s="280">
        <f t="shared" si="16"/>
        <v>0</v>
      </c>
      <c r="L65" s="280">
        <f t="shared" si="16"/>
        <v>0</v>
      </c>
      <c r="M65" s="280">
        <f t="shared" si="16"/>
        <v>0</v>
      </c>
      <c r="N65" s="280">
        <f t="shared" si="16"/>
        <v>0</v>
      </c>
      <c r="O65" s="280">
        <f t="shared" si="16"/>
        <v>0</v>
      </c>
      <c r="P65" s="280">
        <f t="shared" si="16"/>
        <v>0</v>
      </c>
      <c r="Q65" s="85"/>
    </row>
    <row r="66" spans="1:17" ht="12.75" customHeight="1">
      <c r="A66" s="6" t="s">
        <v>5</v>
      </c>
      <c r="E66" s="85"/>
      <c r="F66" s="280">
        <f t="shared" ref="F66:P66" si="17">IF(F65=F33,(IF(MinRed=0,0,MinRed*F33)),F65)</f>
        <v>0</v>
      </c>
      <c r="G66" s="280">
        <f t="shared" si="17"/>
        <v>0</v>
      </c>
      <c r="H66" s="280">
        <f t="shared" si="17"/>
        <v>0</v>
      </c>
      <c r="I66" s="280">
        <f t="shared" si="17"/>
        <v>0</v>
      </c>
      <c r="J66" s="280">
        <f t="shared" si="17"/>
        <v>0</v>
      </c>
      <c r="K66" s="280">
        <f t="shared" si="17"/>
        <v>0</v>
      </c>
      <c r="L66" s="280">
        <f t="shared" si="17"/>
        <v>0</v>
      </c>
      <c r="M66" s="280">
        <f t="shared" si="17"/>
        <v>0</v>
      </c>
      <c r="N66" s="280">
        <f t="shared" si="17"/>
        <v>0</v>
      </c>
      <c r="O66" s="280">
        <f t="shared" si="17"/>
        <v>0</v>
      </c>
      <c r="P66" s="280">
        <f t="shared" si="17"/>
        <v>0</v>
      </c>
      <c r="Q66" s="85"/>
    </row>
    <row r="67" spans="1:17" ht="12.75" customHeight="1">
      <c r="A67" s="6" t="s">
        <v>35</v>
      </c>
      <c r="E67" s="85"/>
      <c r="F67" s="150">
        <f t="shared" ref="F67:P67" si="18">IF(F66&lt;E42,F66,E42)</f>
        <v>0</v>
      </c>
      <c r="G67" s="150">
        <f t="shared" si="18"/>
        <v>0</v>
      </c>
      <c r="H67" s="150">
        <f t="shared" si="18"/>
        <v>0</v>
      </c>
      <c r="I67" s="150">
        <f t="shared" si="18"/>
        <v>0</v>
      </c>
      <c r="J67" s="150">
        <f t="shared" si="18"/>
        <v>0</v>
      </c>
      <c r="K67" s="150">
        <f t="shared" si="18"/>
        <v>0</v>
      </c>
      <c r="L67" s="150">
        <f t="shared" si="18"/>
        <v>0</v>
      </c>
      <c r="M67" s="150">
        <f t="shared" si="18"/>
        <v>0</v>
      </c>
      <c r="N67" s="150">
        <f t="shared" si="18"/>
        <v>0</v>
      </c>
      <c r="O67" s="150">
        <f t="shared" si="18"/>
        <v>0</v>
      </c>
      <c r="P67" s="150">
        <f t="shared" si="18"/>
        <v>0</v>
      </c>
      <c r="Q67" s="85"/>
    </row>
    <row r="68" spans="1:17" ht="12.75" customHeight="1">
      <c r="A68" s="184"/>
      <c r="B68" s="184"/>
      <c r="C68" s="184"/>
      <c r="D68" s="292"/>
      <c r="E68" s="292"/>
      <c r="F68" s="292"/>
      <c r="G68" s="292"/>
      <c r="H68" s="292"/>
      <c r="I68" s="292"/>
      <c r="J68" s="292"/>
      <c r="K68" s="292"/>
      <c r="L68" s="292"/>
      <c r="M68" s="292"/>
      <c r="N68" s="292"/>
      <c r="O68" s="292"/>
      <c r="P68" s="292"/>
    </row>
    <row r="69" spans="1:17" ht="12.75" customHeight="1"/>
    <row r="70" spans="1:17" ht="12.75" customHeight="1"/>
    <row r="71" spans="1:17" ht="12.75" customHeight="1"/>
    <row r="72" spans="1:17" ht="12.75" customHeight="1"/>
    <row r="73" spans="1:17" ht="12.75" customHeight="1"/>
    <row r="74" spans="1:17" ht="12.75" customHeight="1"/>
    <row r="75" spans="1:17" ht="12.75" customHeight="1"/>
    <row r="76" spans="1:17" ht="12.75" customHeight="1"/>
    <row r="77" spans="1:17" ht="12.75" customHeight="1"/>
    <row r="78" spans="1:17" ht="12.75" customHeight="1"/>
    <row r="79" spans="1:17" ht="12.75" customHeight="1"/>
    <row r="80" spans="1:17"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sheetData>
  <phoneticPr fontId="4" type="noConversion"/>
  <pageMargins left="0.75" right="0.75" top="1" bottom="0.75" header="0.5" footer="0.5"/>
  <pageSetup scale="75" orientation="landscape" blackAndWhite="1"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88"/>
  <sheetViews>
    <sheetView showGridLines="0" topLeftCell="A13" zoomScale="81" zoomScaleNormal="81" workbookViewId="0">
      <selection activeCell="I8" sqref="I8"/>
    </sheetView>
  </sheetViews>
  <sheetFormatPr defaultColWidth="8.85546875" defaultRowHeight="12"/>
  <cols>
    <col min="1" max="3" width="3" style="6" customWidth="1"/>
    <col min="4" max="4" width="22.85546875" style="1" customWidth="1"/>
    <col min="5" max="5" width="10.85546875" style="1" customWidth="1"/>
    <col min="6" max="6" width="20.85546875" style="1" customWidth="1"/>
    <col min="7" max="7" width="8.85546875" style="1" customWidth="1"/>
    <col min="8" max="8" width="10.85546875" style="1" customWidth="1"/>
    <col min="9" max="9" width="20.85546875" style="1" customWidth="1"/>
    <col min="10" max="10" width="8.85546875" style="1" customWidth="1"/>
    <col min="11" max="17" width="10.85546875" customWidth="1"/>
    <col min="18" max="18" width="15.85546875" customWidth="1"/>
  </cols>
  <sheetData>
    <row r="1" spans="1:18" ht="15.75">
      <c r="A1" s="5" t="str">
        <f>+'12. Income Statement (2)'!A1</f>
        <v xml:space="preserve"> </v>
      </c>
    </row>
    <row r="2" spans="1:18" ht="15.75">
      <c r="A2" s="5" t="s">
        <v>59</v>
      </c>
    </row>
    <row r="3" spans="1:18" ht="12.75" customHeight="1">
      <c r="A3" s="1"/>
      <c r="B3" s="1"/>
      <c r="C3" s="1"/>
      <c r="K3" s="37"/>
      <c r="L3" s="37"/>
      <c r="M3" s="37"/>
      <c r="N3" s="37"/>
      <c r="O3" s="37"/>
      <c r="P3" s="37"/>
      <c r="Q3" s="7"/>
      <c r="R3" s="7"/>
    </row>
    <row r="4" spans="1:18" ht="12.75" customHeight="1" thickBot="1">
      <c r="A4" s="1"/>
      <c r="B4" s="1"/>
      <c r="C4" s="1"/>
      <c r="E4" s="83"/>
      <c r="F4" s="40" t="s">
        <v>43</v>
      </c>
      <c r="G4" s="84"/>
      <c r="H4" s="83"/>
      <c r="I4" s="40" t="s">
        <v>40</v>
      </c>
      <c r="J4" s="84"/>
      <c r="K4" s="83"/>
      <c r="L4" s="83"/>
      <c r="M4" s="83"/>
      <c r="N4" s="83"/>
      <c r="O4" s="83"/>
      <c r="P4" s="83"/>
      <c r="Q4" s="15"/>
      <c r="R4" s="15"/>
    </row>
    <row r="5" spans="1:18" ht="12.75" customHeight="1" thickTop="1">
      <c r="A5" s="85"/>
      <c r="B5" s="85"/>
      <c r="C5" s="85"/>
      <c r="D5" s="85"/>
      <c r="E5" s="85"/>
      <c r="F5" s="85"/>
      <c r="G5" s="85"/>
      <c r="H5" s="85"/>
      <c r="I5" s="85"/>
      <c r="J5" s="85"/>
      <c r="K5" s="82"/>
      <c r="L5" s="82"/>
      <c r="M5" s="82"/>
      <c r="N5" s="82"/>
      <c r="O5" s="82"/>
      <c r="P5" s="82"/>
      <c r="Q5" s="17"/>
      <c r="R5" s="17"/>
    </row>
    <row r="6" spans="1:18" ht="12.75" customHeight="1">
      <c r="A6" s="85" t="s">
        <v>195</v>
      </c>
      <c r="B6" s="85"/>
      <c r="C6" s="85"/>
      <c r="D6" s="85"/>
      <c r="E6" s="85"/>
      <c r="F6" s="280"/>
      <c r="G6" s="280"/>
      <c r="H6" s="280"/>
      <c r="I6" s="280"/>
      <c r="J6" s="85"/>
      <c r="K6" s="82"/>
      <c r="L6" s="82"/>
      <c r="M6" s="82"/>
      <c r="N6" s="82"/>
      <c r="O6" s="82"/>
      <c r="P6" s="82"/>
      <c r="Q6" s="17"/>
      <c r="R6" s="17"/>
    </row>
    <row r="7" spans="1:18" ht="12.75" customHeight="1">
      <c r="A7" s="85"/>
      <c r="B7" s="85" t="s">
        <v>196</v>
      </c>
      <c r="C7" s="85"/>
      <c r="D7" s="85"/>
      <c r="E7" s="85"/>
      <c r="F7" s="280"/>
      <c r="G7" s="280"/>
      <c r="H7" s="280"/>
      <c r="I7" s="280"/>
      <c r="J7" s="85"/>
      <c r="K7" s="82"/>
      <c r="L7" s="82"/>
      <c r="M7" s="82"/>
      <c r="N7" s="82"/>
      <c r="O7" s="82"/>
      <c r="P7" s="82"/>
      <c r="Q7" s="17"/>
      <c r="R7" s="17"/>
    </row>
    <row r="8" spans="1:18" ht="12.75" customHeight="1">
      <c r="A8" s="85"/>
      <c r="B8" s="85"/>
      <c r="C8" s="85" t="s">
        <v>197</v>
      </c>
      <c r="D8" s="85"/>
      <c r="E8" s="85"/>
      <c r="F8" s="280">
        <f>'1. Required Start-Up Funds'!E28+(IF(('1. Required Start-Up Funds'!I50-'1. Required Start-Up Funds'!I31)&gt;0,'1. Required Start-Up Funds'!I50-'1. Required Start-Up Funds'!I31,0))</f>
        <v>0</v>
      </c>
      <c r="G8" s="280"/>
      <c r="H8" s="280"/>
      <c r="I8" s="280">
        <f>'9. Cash Flow Statement'!P39</f>
        <v>0</v>
      </c>
      <c r="J8" s="85"/>
      <c r="K8" s="82"/>
      <c r="L8" s="82"/>
      <c r="M8" s="82"/>
      <c r="N8" s="82"/>
      <c r="O8" s="82"/>
      <c r="P8" s="82"/>
      <c r="Q8" s="17"/>
      <c r="R8" s="17"/>
    </row>
    <row r="9" spans="1:18" ht="12.75" customHeight="1">
      <c r="A9" s="85"/>
      <c r="B9" s="85"/>
      <c r="C9" s="85" t="s">
        <v>179</v>
      </c>
      <c r="D9" s="85"/>
      <c r="E9" s="85"/>
      <c r="F9" s="280">
        <f>'7. Beginning Balance Sheet'!F11</f>
        <v>0</v>
      </c>
      <c r="G9" s="280"/>
      <c r="H9" s="280"/>
      <c r="I9" s="280">
        <f>F9+'8. Income Statement'!Q16-'9. Cash Flow Statement'!Q15</f>
        <v>0</v>
      </c>
      <c r="J9" s="85"/>
      <c r="K9" s="82"/>
      <c r="L9" s="82"/>
      <c r="M9" s="82"/>
      <c r="N9" s="82"/>
      <c r="O9" s="82"/>
      <c r="P9" s="82"/>
      <c r="Q9" s="17"/>
      <c r="R9" s="17"/>
    </row>
    <row r="10" spans="1:18" ht="12.75" customHeight="1">
      <c r="A10" s="85"/>
      <c r="B10" s="85"/>
      <c r="C10" s="85" t="s">
        <v>199</v>
      </c>
      <c r="D10" s="85"/>
      <c r="E10" s="85"/>
      <c r="F10" s="280">
        <f>'1. Required Start-Up Funds'!E20</f>
        <v>0</v>
      </c>
      <c r="G10" s="280"/>
      <c r="H10" s="280"/>
      <c r="I10" s="280">
        <f>+'9. Cash Flow Statement'!P53</f>
        <v>0</v>
      </c>
      <c r="J10" s="85"/>
      <c r="K10" s="82"/>
      <c r="L10" s="82"/>
      <c r="M10" s="82"/>
      <c r="N10" s="82"/>
      <c r="O10" s="82"/>
      <c r="P10" s="82"/>
      <c r="Q10" s="17"/>
      <c r="R10" s="17"/>
    </row>
    <row r="11" spans="1:18" ht="12.75" customHeight="1">
      <c r="A11" s="85"/>
      <c r="B11" s="85"/>
      <c r="C11" s="85" t="s">
        <v>200</v>
      </c>
      <c r="D11" s="85"/>
      <c r="E11" s="85"/>
      <c r="F11" s="280">
        <f>'1. Required Start-Up Funds'!I29-'1. Required Start-Up Funds'!E28-'1. Required Start-Up Funds'!E20-'1. Required Start-Up Funds'!E27</f>
        <v>0</v>
      </c>
      <c r="G11" s="280"/>
      <c r="H11" s="280"/>
      <c r="I11" s="280">
        <f>F11-'6. Cash Receipts-Disbursements'!J26</f>
        <v>0</v>
      </c>
      <c r="J11" s="85"/>
      <c r="K11" s="82"/>
      <c r="L11" s="82"/>
      <c r="M11" s="82"/>
      <c r="N11" s="82"/>
      <c r="O11" s="82"/>
      <c r="P11" s="82"/>
      <c r="Q11" s="17"/>
      <c r="R11" s="17"/>
    </row>
    <row r="12" spans="1:18" ht="12.75" customHeight="1" thickBot="1">
      <c r="A12" s="85"/>
      <c r="B12" s="85"/>
      <c r="C12" s="85" t="s">
        <v>201</v>
      </c>
      <c r="D12" s="85"/>
      <c r="E12" s="85"/>
      <c r="F12" s="281">
        <f>'1. Required Start-Up Funds'!E27</f>
        <v>0</v>
      </c>
      <c r="G12" s="280"/>
      <c r="H12" s="280"/>
      <c r="I12" s="281">
        <f>F12-'6. Cash Receipts-Disbursements'!J27</f>
        <v>0</v>
      </c>
      <c r="J12" s="148"/>
      <c r="K12" s="82"/>
      <c r="L12" s="82"/>
      <c r="M12" s="82"/>
      <c r="N12" s="82"/>
      <c r="O12" s="82"/>
      <c r="P12" s="82"/>
      <c r="Q12" s="17"/>
      <c r="R12" s="17"/>
    </row>
    <row r="13" spans="1:18" ht="12.75" customHeight="1">
      <c r="A13" s="85"/>
      <c r="B13" s="85" t="s">
        <v>202</v>
      </c>
      <c r="C13" s="85"/>
      <c r="D13" s="85"/>
      <c r="E13" s="280"/>
      <c r="F13" s="280">
        <f>SUM(F8:F12)</f>
        <v>0</v>
      </c>
      <c r="G13" s="283"/>
      <c r="H13" s="280"/>
      <c r="I13" s="280">
        <f>SUM(I8:I12)</f>
        <v>0</v>
      </c>
      <c r="J13" s="283"/>
      <c r="K13" s="86"/>
      <c r="L13" s="86"/>
      <c r="M13" s="86"/>
      <c r="N13" s="86"/>
      <c r="O13" s="86"/>
      <c r="P13" s="86"/>
      <c r="Q13" s="18"/>
      <c r="R13" s="18"/>
    </row>
    <row r="14" spans="1:18" ht="12.75" customHeight="1">
      <c r="A14" s="85"/>
      <c r="B14" s="1"/>
      <c r="C14" s="1"/>
      <c r="D14" s="85"/>
      <c r="E14" s="280"/>
      <c r="F14" s="280"/>
      <c r="G14" s="280"/>
      <c r="H14" s="280"/>
      <c r="I14" s="280"/>
      <c r="J14" s="280"/>
      <c r="K14" s="86"/>
      <c r="L14" s="86"/>
      <c r="M14" s="86"/>
      <c r="N14" s="86"/>
      <c r="O14" s="86"/>
      <c r="P14" s="86"/>
      <c r="Q14" s="18"/>
      <c r="R14" s="18"/>
    </row>
    <row r="15" spans="1:18" ht="12.75" customHeight="1">
      <c r="A15" s="85"/>
      <c r="B15" s="1" t="s">
        <v>251</v>
      </c>
      <c r="C15" s="85"/>
      <c r="D15" s="85"/>
      <c r="E15" s="148"/>
      <c r="F15" s="280"/>
      <c r="G15" s="280"/>
      <c r="H15" s="280"/>
      <c r="I15" s="280"/>
      <c r="J15" s="148"/>
      <c r="K15" s="87"/>
      <c r="L15" s="87"/>
      <c r="M15" s="87"/>
      <c r="N15" s="87"/>
      <c r="O15" s="87"/>
      <c r="P15" s="87"/>
      <c r="Q15" s="19"/>
      <c r="R15" s="19"/>
    </row>
    <row r="16" spans="1:18" ht="12.75" customHeight="1">
      <c r="A16" s="85"/>
      <c r="B16" s="85"/>
      <c r="C16" s="85" t="str">
        <f>'1. Required Start-Up Funds'!C8</f>
        <v>Real Estate-Land</v>
      </c>
      <c r="D16" s="85"/>
      <c r="E16" s="148"/>
      <c r="F16" s="280">
        <f>'1. Required Start-Up Funds'!E8</f>
        <v>0</v>
      </c>
      <c r="G16" s="280"/>
      <c r="H16" s="280"/>
      <c r="I16" s="280">
        <f t="shared" ref="I16:I21" si="0">F16</f>
        <v>0</v>
      </c>
      <c r="J16" s="148"/>
      <c r="K16" s="87"/>
      <c r="L16" s="87"/>
      <c r="M16" s="87"/>
      <c r="N16" s="87"/>
      <c r="O16" s="87"/>
      <c r="P16" s="87"/>
      <c r="Q16" s="19"/>
      <c r="R16" s="19"/>
    </row>
    <row r="17" spans="1:18" ht="12.75" customHeight="1">
      <c r="A17" s="85"/>
      <c r="B17" s="85"/>
      <c r="C17" s="85" t="str">
        <f>'1. Required Start-Up Funds'!C9</f>
        <v>Buildings</v>
      </c>
      <c r="D17" s="85"/>
      <c r="E17" s="280"/>
      <c r="F17" s="280">
        <f>'1. Required Start-Up Funds'!E9</f>
        <v>0</v>
      </c>
      <c r="G17" s="280"/>
      <c r="H17" s="280"/>
      <c r="I17" s="280">
        <f t="shared" si="0"/>
        <v>0</v>
      </c>
      <c r="J17" s="280"/>
      <c r="K17" s="86"/>
      <c r="L17" s="86"/>
      <c r="M17" s="86"/>
      <c r="N17" s="86"/>
      <c r="O17" s="86"/>
      <c r="P17" s="86"/>
      <c r="Q17" s="18"/>
      <c r="R17" s="18"/>
    </row>
    <row r="18" spans="1:18" ht="12.75" customHeight="1">
      <c r="A18" s="85"/>
      <c r="B18" s="85"/>
      <c r="C18" s="85" t="str">
        <f>'1. Required Start-Up Funds'!C10</f>
        <v>Leasehold Improvements</v>
      </c>
      <c r="D18" s="85"/>
      <c r="E18" s="280"/>
      <c r="F18" s="280">
        <f>'1. Required Start-Up Funds'!E10</f>
        <v>0</v>
      </c>
      <c r="G18" s="280"/>
      <c r="H18" s="280"/>
      <c r="I18" s="280">
        <f t="shared" si="0"/>
        <v>0</v>
      </c>
      <c r="J18" s="280"/>
      <c r="K18" s="86"/>
      <c r="L18" s="86"/>
      <c r="M18" s="86"/>
      <c r="N18" s="86"/>
      <c r="O18" s="86"/>
      <c r="P18" s="86"/>
      <c r="Q18" s="18"/>
      <c r="R18" s="18"/>
    </row>
    <row r="19" spans="1:18" ht="12.75" customHeight="1">
      <c r="A19" s="85"/>
      <c r="B19" s="85"/>
      <c r="C19" s="85" t="str">
        <f>'1. Required Start-Up Funds'!C11</f>
        <v>Equipment</v>
      </c>
      <c r="D19" s="85"/>
      <c r="E19" s="148"/>
      <c r="F19" s="280">
        <f>'1. Required Start-Up Funds'!E11</f>
        <v>0</v>
      </c>
      <c r="G19" s="280"/>
      <c r="H19" s="280"/>
      <c r="I19" s="280">
        <f t="shared" si="0"/>
        <v>0</v>
      </c>
      <c r="J19" s="148"/>
      <c r="K19" s="87"/>
      <c r="L19" s="87"/>
      <c r="M19" s="87"/>
      <c r="N19" s="87"/>
      <c r="O19" s="87"/>
      <c r="P19" s="87"/>
      <c r="Q19" s="19"/>
      <c r="R19" s="19"/>
    </row>
    <row r="20" spans="1:18" ht="12.75" customHeight="1">
      <c r="A20" s="85"/>
      <c r="B20" s="85"/>
      <c r="C20" s="85" t="str">
        <f>'1. Required Start-Up Funds'!C12</f>
        <v>Furniture and Fixtures</v>
      </c>
      <c r="D20" s="85"/>
      <c r="E20" s="148"/>
      <c r="F20" s="280">
        <f>'1. Required Start-Up Funds'!E12</f>
        <v>0</v>
      </c>
      <c r="G20" s="280"/>
      <c r="H20" s="280"/>
      <c r="I20" s="280">
        <f t="shared" si="0"/>
        <v>0</v>
      </c>
      <c r="J20" s="148"/>
      <c r="K20" s="87"/>
      <c r="L20" s="87"/>
      <c r="M20" s="87"/>
      <c r="N20" s="87"/>
      <c r="O20" s="87"/>
      <c r="P20" s="87"/>
      <c r="Q20" s="19"/>
      <c r="R20" s="19"/>
    </row>
    <row r="21" spans="1:18" ht="12.75" customHeight="1">
      <c r="A21" s="85"/>
      <c r="B21" s="85"/>
      <c r="C21" s="85" t="str">
        <f>'1. Required Start-Up Funds'!C13</f>
        <v>Vehicles</v>
      </c>
      <c r="D21" s="85"/>
      <c r="E21" s="148"/>
      <c r="F21" s="280">
        <f>'1. Required Start-Up Funds'!E13</f>
        <v>0</v>
      </c>
      <c r="G21" s="280"/>
      <c r="H21" s="280"/>
      <c r="I21" s="280">
        <f t="shared" si="0"/>
        <v>0</v>
      </c>
      <c r="J21" s="148"/>
      <c r="K21" s="87"/>
      <c r="L21" s="87"/>
      <c r="M21" s="87"/>
      <c r="N21" s="87"/>
      <c r="O21" s="87"/>
      <c r="P21" s="87"/>
      <c r="Q21" s="19"/>
      <c r="R21" s="19"/>
    </row>
    <row r="22" spans="1:18" ht="12.75" customHeight="1" thickBot="1">
      <c r="A22" s="85"/>
      <c r="B22" s="85"/>
      <c r="C22" s="85" t="str">
        <f>'1. Required Start-Up Funds'!C14</f>
        <v>Other Fixed Assets</v>
      </c>
      <c r="D22" s="85"/>
      <c r="E22" s="280"/>
      <c r="F22" s="281">
        <f>'7. Beginning Balance Sheet'!F24+'1. Required Start-Up Funds'!E14</f>
        <v>0</v>
      </c>
      <c r="G22" s="280"/>
      <c r="H22" s="280"/>
      <c r="I22" s="281">
        <f>F22+'9. Cash Flow Statement'!Q19</f>
        <v>0</v>
      </c>
      <c r="J22" s="280"/>
      <c r="K22" s="86"/>
      <c r="L22" s="86"/>
      <c r="M22" s="86"/>
      <c r="N22" s="86"/>
      <c r="O22" s="86"/>
      <c r="P22" s="86"/>
      <c r="Q22" s="18"/>
      <c r="R22" s="18"/>
    </row>
    <row r="23" spans="1:18" ht="12.75" customHeight="1">
      <c r="A23" s="85"/>
      <c r="B23" s="85" t="s">
        <v>258</v>
      </c>
      <c r="C23" s="85"/>
      <c r="D23" s="85"/>
      <c r="E23" s="280"/>
      <c r="F23" s="280">
        <f>SUM(F16:F22)</f>
        <v>0</v>
      </c>
      <c r="G23" s="283"/>
      <c r="H23" s="280"/>
      <c r="I23" s="280">
        <f>SUM(I16:I22)</f>
        <v>0</v>
      </c>
      <c r="J23" s="283"/>
      <c r="K23" s="86"/>
      <c r="L23" s="86"/>
      <c r="M23" s="86"/>
      <c r="N23" s="86"/>
      <c r="O23" s="86"/>
      <c r="P23" s="86"/>
      <c r="Q23" s="18"/>
      <c r="R23" s="18"/>
    </row>
    <row r="24" spans="1:18" ht="12.75" customHeight="1">
      <c r="A24" s="1"/>
      <c r="B24" s="1" t="s">
        <v>203</v>
      </c>
      <c r="C24" s="1"/>
      <c r="E24" s="85"/>
      <c r="F24" s="280">
        <f>'7. Beginning Balance Sheet'!F27</f>
        <v>0</v>
      </c>
      <c r="G24" s="280"/>
      <c r="H24" s="280"/>
      <c r="I24" s="280">
        <f>F24+'8. Income Statement'!Q65</f>
        <v>0</v>
      </c>
      <c r="J24" s="85"/>
      <c r="K24" s="82"/>
      <c r="L24" s="82"/>
      <c r="M24" s="82"/>
      <c r="N24" s="82"/>
      <c r="O24" s="82"/>
      <c r="P24" s="82"/>
      <c r="Q24" s="17"/>
      <c r="R24" s="17"/>
    </row>
    <row r="25" spans="1:18" ht="12.75" customHeight="1" thickBot="1">
      <c r="A25" s="1"/>
      <c r="B25" s="1"/>
      <c r="C25" s="1"/>
      <c r="E25" s="85"/>
      <c r="F25" s="281"/>
      <c r="G25" s="280"/>
      <c r="H25" s="280"/>
      <c r="I25" s="281"/>
      <c r="J25" s="85"/>
      <c r="K25" s="82"/>
      <c r="L25" s="82"/>
      <c r="M25" s="82"/>
      <c r="N25" s="82"/>
      <c r="O25" s="82"/>
      <c r="P25" s="82"/>
      <c r="Q25" s="17"/>
      <c r="R25" s="17"/>
    </row>
    <row r="26" spans="1:18" ht="15.75" customHeight="1" thickBot="1">
      <c r="A26" s="1" t="s">
        <v>204</v>
      </c>
      <c r="B26" s="1"/>
      <c r="C26" s="1"/>
      <c r="E26" s="85"/>
      <c r="F26" s="282">
        <f>INT(F13+F23-F24)</f>
        <v>0</v>
      </c>
      <c r="G26" s="283"/>
      <c r="H26" s="280"/>
      <c r="I26" s="282">
        <f>INT(I13+I23-I24)</f>
        <v>0</v>
      </c>
      <c r="J26" s="283"/>
      <c r="K26" s="82"/>
      <c r="L26" s="82"/>
      <c r="M26" s="82"/>
      <c r="N26" s="82"/>
      <c r="O26" s="82"/>
      <c r="P26" s="82"/>
      <c r="Q26" s="17"/>
      <c r="R26" s="17"/>
    </row>
    <row r="27" spans="1:18" ht="12.75" customHeight="1" thickTop="1">
      <c r="A27" s="1"/>
      <c r="B27" s="1"/>
      <c r="C27" s="1"/>
      <c r="E27" s="85"/>
      <c r="F27" s="280"/>
      <c r="G27" s="280"/>
      <c r="H27" s="280"/>
      <c r="I27" s="280"/>
      <c r="J27" s="85"/>
      <c r="K27" s="82"/>
      <c r="L27" s="82"/>
      <c r="M27" s="82"/>
      <c r="N27" s="82"/>
      <c r="O27" s="82"/>
      <c r="P27" s="82"/>
      <c r="Q27" s="17"/>
      <c r="R27" s="17"/>
    </row>
    <row r="28" spans="1:18" ht="12.75" customHeight="1">
      <c r="A28" s="1" t="s">
        <v>205</v>
      </c>
      <c r="B28" s="1"/>
      <c r="C28" s="1"/>
      <c r="E28" s="85"/>
      <c r="F28" s="280"/>
      <c r="G28" s="280"/>
      <c r="H28" s="280"/>
      <c r="I28" s="280"/>
      <c r="J28" s="85"/>
      <c r="K28" s="82"/>
      <c r="L28" s="82"/>
      <c r="M28" s="82"/>
      <c r="N28" s="82"/>
      <c r="O28" s="82"/>
      <c r="P28" s="82"/>
      <c r="Q28" s="17"/>
      <c r="R28" s="17"/>
    </row>
    <row r="29" spans="1:18" ht="12.75" customHeight="1">
      <c r="A29" s="1"/>
      <c r="B29" s="1" t="s">
        <v>209</v>
      </c>
      <c r="C29" s="1"/>
      <c r="E29" s="85"/>
      <c r="F29" s="280"/>
      <c r="G29" s="280"/>
      <c r="H29" s="280"/>
      <c r="I29" s="280"/>
      <c r="J29" s="85"/>
      <c r="K29" s="82"/>
      <c r="L29" s="82"/>
      <c r="M29" s="82"/>
      <c r="N29" s="82"/>
      <c r="O29" s="82"/>
      <c r="P29" s="82"/>
      <c r="Q29" s="17"/>
      <c r="R29" s="17"/>
    </row>
    <row r="30" spans="1:18" ht="12.75" customHeight="1">
      <c r="A30" s="1"/>
      <c r="B30" s="1"/>
      <c r="C30" s="1" t="s">
        <v>206</v>
      </c>
      <c r="E30" s="280"/>
      <c r="F30" s="280">
        <f>'7. Beginning Balance Sheet'!F35</f>
        <v>0</v>
      </c>
      <c r="G30" s="280"/>
      <c r="H30" s="280"/>
      <c r="I30" s="280">
        <f>'8. Income Statement'!Q26-'9. Cash Flow Statement'!Q21+F30</f>
        <v>0</v>
      </c>
      <c r="J30" s="280"/>
      <c r="K30" s="86"/>
      <c r="L30" s="86"/>
      <c r="M30" s="86"/>
      <c r="N30" s="86"/>
      <c r="O30" s="86"/>
      <c r="P30" s="86"/>
      <c r="Q30" s="18"/>
      <c r="R30" s="18"/>
    </row>
    <row r="31" spans="1:18" ht="12.75" customHeight="1">
      <c r="A31" s="1"/>
      <c r="B31" s="1"/>
      <c r="C31" s="1" t="str">
        <f>+'1. Required Start-Up Funds'!$C$45</f>
        <v>Commercial Loan</v>
      </c>
      <c r="E31" s="148"/>
      <c r="F31" s="280">
        <f>'1. Required Start-Up Funds'!I45+'7. Beginning Balance Sheet'!F36</f>
        <v>0</v>
      </c>
      <c r="G31" s="280"/>
      <c r="H31" s="280"/>
      <c r="I31" s="280">
        <f>'20. Debt Amoritization Schedule'!R17</f>
        <v>0</v>
      </c>
      <c r="J31" s="148"/>
      <c r="K31" s="87"/>
      <c r="L31" s="87"/>
      <c r="M31" s="87"/>
      <c r="N31" s="87"/>
      <c r="O31" s="87"/>
      <c r="P31" s="87"/>
      <c r="Q31" s="19"/>
      <c r="R31" s="17"/>
    </row>
    <row r="32" spans="1:18" ht="12.75" customHeight="1">
      <c r="A32" s="1"/>
      <c r="B32" s="1"/>
      <c r="C32" s="1" t="str">
        <f>+'1. Required Start-Up Funds'!$C$46</f>
        <v>Commercial Mortgage</v>
      </c>
      <c r="E32" s="85"/>
      <c r="F32" s="280">
        <f>'1. Required Start-Up Funds'!I46+'7. Beginning Balance Sheet'!F37</f>
        <v>0</v>
      </c>
      <c r="G32" s="280"/>
      <c r="H32" s="280"/>
      <c r="I32" s="280">
        <f>'20. Debt Amoritization Schedule'!R37+'7. Beginning Balance Sheet'!F37</f>
        <v>0</v>
      </c>
      <c r="J32" s="85"/>
      <c r="K32" s="82"/>
      <c r="L32" s="82"/>
      <c r="M32" s="82"/>
      <c r="N32" s="82"/>
      <c r="O32" s="82"/>
      <c r="P32" s="82"/>
      <c r="Q32" s="17"/>
      <c r="R32" s="17"/>
    </row>
    <row r="33" spans="1:18" ht="12.75" customHeight="1">
      <c r="A33" s="1"/>
      <c r="B33" s="1"/>
      <c r="C33" s="1" t="str">
        <f>+'1. Required Start-Up Funds'!$C$47</f>
        <v>Credit Card Debt</v>
      </c>
      <c r="E33" s="85"/>
      <c r="F33" s="280">
        <f>'1. Required Start-Up Funds'!I47+'7. Beginning Balance Sheet'!F38</f>
        <v>0</v>
      </c>
      <c r="G33" s="280"/>
      <c r="H33" s="280"/>
      <c r="I33" s="280">
        <f>'20. Debt Amoritization Schedule'!R57+'7. Beginning Balance Sheet'!F38</f>
        <v>0</v>
      </c>
      <c r="J33" s="85"/>
      <c r="K33" s="82"/>
      <c r="L33" s="82"/>
      <c r="M33" s="82"/>
      <c r="N33" s="82"/>
      <c r="O33" s="82"/>
      <c r="P33" s="82"/>
      <c r="Q33" s="17"/>
      <c r="R33" s="17"/>
    </row>
    <row r="34" spans="1:18" ht="12.75" customHeight="1">
      <c r="A34" s="1"/>
      <c r="B34" s="1"/>
      <c r="C34" s="1" t="str">
        <f>+'1. Required Start-Up Funds'!$C$48</f>
        <v>Vehicle Loans</v>
      </c>
      <c r="E34" s="85"/>
      <c r="F34" s="280">
        <f>'1. Required Start-Up Funds'!I48+'7. Beginning Balance Sheet'!F39</f>
        <v>0</v>
      </c>
      <c r="G34" s="280"/>
      <c r="H34" s="280"/>
      <c r="I34" s="280">
        <f>'20. Debt Amoritization Schedule'!R77+'7. Beginning Balance Sheet'!F39</f>
        <v>0</v>
      </c>
      <c r="J34" s="85"/>
      <c r="K34" s="82"/>
      <c r="L34" s="82"/>
      <c r="M34" s="82"/>
      <c r="N34" s="82"/>
      <c r="O34" s="82"/>
      <c r="P34" s="82"/>
      <c r="Q34" s="17"/>
      <c r="R34" s="17"/>
    </row>
    <row r="35" spans="1:18" ht="12.75" customHeight="1">
      <c r="A35" s="1"/>
      <c r="B35" s="1"/>
      <c r="C35" s="1" t="str">
        <f>+'1. Required Start-Up Funds'!$C$44</f>
        <v>Other Debt</v>
      </c>
      <c r="E35" s="85"/>
      <c r="F35" s="280">
        <f>'1. Required Start-Up Funds'!I44+'7. Beginning Balance Sheet'!F40</f>
        <v>0</v>
      </c>
      <c r="G35" s="280"/>
      <c r="H35" s="280"/>
      <c r="I35" s="280">
        <f>'20. Debt Amoritization Schedule'!R97+'7. Beginning Balance Sheet'!F40</f>
        <v>0</v>
      </c>
      <c r="J35" s="85"/>
      <c r="K35" s="82"/>
      <c r="L35" s="82"/>
      <c r="M35" s="82"/>
      <c r="N35" s="82"/>
      <c r="O35" s="82"/>
      <c r="P35" s="82"/>
      <c r="Q35" s="17"/>
      <c r="R35" s="17"/>
    </row>
    <row r="36" spans="1:18" ht="12.75" customHeight="1" thickBot="1">
      <c r="A36" s="1"/>
      <c r="B36" s="1"/>
      <c r="C36" s="1" t="s">
        <v>194</v>
      </c>
      <c r="E36" s="85"/>
      <c r="F36" s="281">
        <f>'7. Beginning Balance Sheet'!F38</f>
        <v>0</v>
      </c>
      <c r="G36" s="280"/>
      <c r="H36" s="280"/>
      <c r="I36" s="281">
        <f>'9. Cash Flow Statement'!P42+F36</f>
        <v>0</v>
      </c>
      <c r="J36" s="85"/>
      <c r="K36" s="82"/>
      <c r="L36" s="82"/>
      <c r="M36" s="82"/>
      <c r="N36" s="82"/>
      <c r="O36" s="82"/>
      <c r="P36" s="82"/>
      <c r="Q36" s="17"/>
      <c r="R36" s="17"/>
    </row>
    <row r="37" spans="1:18" ht="12.75" customHeight="1">
      <c r="A37" s="1"/>
      <c r="B37" s="1" t="s">
        <v>210</v>
      </c>
      <c r="C37" s="1"/>
      <c r="E37" s="85"/>
      <c r="F37" s="280">
        <f>SUM(F30:F36)</f>
        <v>0</v>
      </c>
      <c r="G37" s="283"/>
      <c r="H37" s="280"/>
      <c r="I37" s="280">
        <f>SUM(I30:I36)</f>
        <v>0</v>
      </c>
      <c r="J37" s="283"/>
      <c r="K37" s="82"/>
      <c r="L37" s="82"/>
      <c r="M37" s="82"/>
      <c r="N37" s="82"/>
      <c r="O37" s="82"/>
      <c r="P37" s="82"/>
      <c r="Q37" s="17"/>
      <c r="R37" s="17"/>
    </row>
    <row r="38" spans="1:18" ht="12.75" customHeight="1">
      <c r="A38" s="1"/>
      <c r="B38" s="1"/>
      <c r="C38" s="1"/>
      <c r="F38" s="269"/>
      <c r="G38" s="269"/>
      <c r="H38" s="269"/>
      <c r="I38" s="269"/>
      <c r="K38" s="37"/>
      <c r="L38" s="37"/>
      <c r="M38" s="37"/>
      <c r="N38" s="37"/>
      <c r="O38" s="37"/>
      <c r="P38" s="37"/>
      <c r="Q38" s="7"/>
      <c r="R38" s="7"/>
    </row>
    <row r="39" spans="1:18" ht="12.75" customHeight="1">
      <c r="A39" s="1"/>
      <c r="B39" s="1" t="s">
        <v>211</v>
      </c>
      <c r="C39" s="1"/>
      <c r="F39" s="269"/>
      <c r="G39" s="269"/>
      <c r="H39" s="269"/>
      <c r="I39" s="269"/>
      <c r="K39" s="37"/>
      <c r="L39" s="37"/>
      <c r="M39" s="37"/>
      <c r="N39" s="37"/>
      <c r="O39" s="37"/>
      <c r="P39" s="37"/>
      <c r="Q39" s="7"/>
      <c r="R39" s="7"/>
    </row>
    <row r="40" spans="1:18" ht="12.75" customHeight="1">
      <c r="A40" s="1"/>
      <c r="B40" s="1"/>
      <c r="C40" s="1" t="s">
        <v>211</v>
      </c>
      <c r="F40" s="269">
        <f>'1. Required Start-Up Funds'!I41</f>
        <v>0</v>
      </c>
      <c r="G40" s="269"/>
      <c r="H40" s="269"/>
      <c r="I40" s="269">
        <f>F40</f>
        <v>0</v>
      </c>
      <c r="K40" s="37"/>
      <c r="L40" s="37"/>
      <c r="M40" s="37"/>
      <c r="N40" s="37"/>
      <c r="O40" s="37"/>
      <c r="P40" s="37"/>
      <c r="Q40" s="7"/>
      <c r="R40" s="7"/>
    </row>
    <row r="41" spans="1:18" ht="12.75" customHeight="1">
      <c r="A41" s="1"/>
      <c r="B41" s="1"/>
      <c r="C41" s="1" t="s">
        <v>272</v>
      </c>
      <c r="F41" s="269">
        <f>'1. Required Start-Up Funds'!I42</f>
        <v>0</v>
      </c>
      <c r="G41" s="269"/>
      <c r="H41" s="269"/>
      <c r="I41" s="269">
        <f>F41+'9. Cash Flow Statement'!Q13</f>
        <v>0</v>
      </c>
      <c r="K41" s="37"/>
      <c r="L41" s="37"/>
      <c r="M41" s="37"/>
      <c r="N41" s="37"/>
      <c r="O41" s="37"/>
      <c r="P41" s="37"/>
      <c r="Q41" s="7"/>
      <c r="R41" s="7"/>
    </row>
    <row r="42" spans="1:18" ht="12.75" customHeight="1">
      <c r="A42" s="1"/>
      <c r="B42" s="1"/>
      <c r="C42" s="1" t="s">
        <v>213</v>
      </c>
      <c r="F42" s="269">
        <f>'7. Beginning Balance Sheet'!F43</f>
        <v>0</v>
      </c>
      <c r="G42" s="269"/>
      <c r="H42" s="269"/>
      <c r="I42" s="269">
        <f>'8. Income Statement'!Q76+F42</f>
        <v>0</v>
      </c>
      <c r="K42" s="37"/>
      <c r="L42" s="37"/>
      <c r="M42" s="37"/>
      <c r="N42" s="37"/>
      <c r="O42" s="37"/>
      <c r="P42" s="37"/>
      <c r="Q42" s="7"/>
      <c r="R42" s="7"/>
    </row>
    <row r="43" spans="1:18" ht="12.75" customHeight="1" thickBot="1">
      <c r="A43" s="1"/>
      <c r="B43" s="1"/>
      <c r="C43" s="1" t="s">
        <v>214</v>
      </c>
      <c r="F43" s="281">
        <f>'7. Beginning Balance Sheet'!F44</f>
        <v>0</v>
      </c>
      <c r="G43" s="280"/>
      <c r="H43" s="269"/>
      <c r="I43" s="281">
        <f>-'9. Cash Flow Statement'!Q30+F43</f>
        <v>0</v>
      </c>
      <c r="K43" s="37"/>
      <c r="L43" s="37"/>
      <c r="M43" s="37"/>
      <c r="N43" s="37"/>
      <c r="O43" s="37"/>
      <c r="P43" s="37"/>
      <c r="Q43" s="7"/>
      <c r="R43" s="7"/>
    </row>
    <row r="44" spans="1:18" ht="12.75" customHeight="1">
      <c r="A44" s="1"/>
      <c r="B44" s="1" t="s">
        <v>215</v>
      </c>
      <c r="C44" s="1"/>
      <c r="F44" s="269">
        <f>SUM(F40:F43)</f>
        <v>0</v>
      </c>
      <c r="G44" s="284"/>
      <c r="H44" s="269"/>
      <c r="I44" s="269">
        <f>+I40+I41+I42-I43</f>
        <v>0</v>
      </c>
      <c r="J44" s="284"/>
      <c r="K44" s="37"/>
      <c r="L44" s="37"/>
      <c r="M44" s="37"/>
      <c r="N44" s="37"/>
      <c r="O44" s="37"/>
      <c r="P44" s="37"/>
    </row>
    <row r="45" spans="1:18" ht="12.75" customHeight="1" thickBot="1">
      <c r="A45" s="1"/>
      <c r="B45" s="1"/>
      <c r="C45" s="1"/>
      <c r="F45" s="281"/>
      <c r="G45" s="280"/>
      <c r="H45" s="269"/>
      <c r="I45" s="281"/>
      <c r="K45" s="37"/>
      <c r="L45" s="37"/>
      <c r="M45" s="37"/>
      <c r="N45" s="37"/>
      <c r="O45" s="37"/>
      <c r="P45" s="37"/>
    </row>
    <row r="46" spans="1:18" ht="15.75" customHeight="1" thickBot="1">
      <c r="A46" s="1" t="s">
        <v>235</v>
      </c>
      <c r="B46" s="1"/>
      <c r="C46" s="1"/>
      <c r="F46" s="282">
        <f>+F44+F37</f>
        <v>0</v>
      </c>
      <c r="G46" s="283"/>
      <c r="H46" s="269"/>
      <c r="I46" s="282">
        <f>INT(I37+I44)</f>
        <v>0</v>
      </c>
      <c r="J46" s="283"/>
      <c r="K46" s="37"/>
      <c r="L46" s="37"/>
      <c r="M46" s="37"/>
      <c r="N46" s="37"/>
      <c r="O46" s="37"/>
      <c r="P46" s="37"/>
    </row>
    <row r="47" spans="1:18" ht="12.75" customHeight="1" thickTop="1">
      <c r="A47" s="1"/>
      <c r="B47" s="1"/>
      <c r="C47" s="1"/>
      <c r="K47" s="37"/>
      <c r="L47" s="37"/>
      <c r="M47" s="37"/>
      <c r="N47" s="37"/>
      <c r="O47" s="37"/>
      <c r="P47" s="37"/>
    </row>
    <row r="48" spans="1:18" ht="12.75" customHeight="1">
      <c r="A48" s="1"/>
      <c r="B48" s="1"/>
      <c r="C48" s="1"/>
      <c r="K48" s="37"/>
      <c r="L48" s="37"/>
      <c r="M48" s="37"/>
      <c r="N48" s="37"/>
      <c r="O48" s="37"/>
      <c r="P48" s="37"/>
    </row>
    <row r="49" spans="1:18" ht="12.75" customHeight="1">
      <c r="A49" s="1"/>
      <c r="B49" s="1"/>
      <c r="C49" s="1"/>
      <c r="F49" s="39" t="str">
        <f>IF(F26=F46,"Statement Balances","Does Not Balance")</f>
        <v>Statement Balances</v>
      </c>
      <c r="I49" s="39" t="str">
        <f>IF(I26-I46=0,"Statement Balances","Does Not Balance")</f>
        <v>Statement Balances</v>
      </c>
      <c r="K49" s="91"/>
      <c r="L49" s="37"/>
      <c r="M49" s="37"/>
      <c r="N49" s="37"/>
      <c r="O49" s="37"/>
      <c r="P49" s="37"/>
    </row>
    <row r="50" spans="1:18" ht="12.75" customHeight="1">
      <c r="A50" s="1"/>
      <c r="B50" s="1"/>
      <c r="C50" s="1"/>
      <c r="K50" s="37"/>
      <c r="L50" s="37"/>
      <c r="M50" s="37"/>
      <c r="N50" s="37"/>
      <c r="O50" s="37"/>
      <c r="P50" s="37"/>
    </row>
    <row r="51" spans="1:18" ht="12.75" customHeight="1">
      <c r="A51" s="1"/>
      <c r="B51" s="1"/>
      <c r="C51" s="1"/>
      <c r="K51" s="37"/>
      <c r="L51" s="37"/>
      <c r="M51" s="37"/>
      <c r="N51" s="37"/>
      <c r="O51" s="37"/>
      <c r="P51" s="37"/>
    </row>
    <row r="52" spans="1:18" ht="12.75" customHeight="1"/>
    <row r="53" spans="1:18" ht="12.75" customHeight="1"/>
    <row r="54" spans="1:18" ht="12.75" customHeight="1">
      <c r="E54" s="85"/>
      <c r="F54" s="85"/>
      <c r="G54" s="85"/>
      <c r="H54" s="85"/>
      <c r="I54" s="85"/>
      <c r="J54" s="85"/>
      <c r="K54" s="14"/>
      <c r="L54" s="14"/>
      <c r="M54" s="14"/>
      <c r="N54" s="14"/>
      <c r="O54" s="14"/>
      <c r="P54" s="14"/>
      <c r="Q54" s="14"/>
      <c r="R54" s="14"/>
    </row>
    <row r="55" spans="1:18" ht="12.75" customHeight="1">
      <c r="E55" s="85"/>
      <c r="F55" s="85"/>
      <c r="G55" s="85"/>
      <c r="H55" s="85"/>
      <c r="I55" s="85"/>
      <c r="J55" s="85"/>
      <c r="K55" s="14"/>
      <c r="L55" s="14"/>
      <c r="M55" s="14"/>
      <c r="N55" s="14"/>
      <c r="O55" s="14"/>
      <c r="P55" s="14"/>
      <c r="Q55" s="14"/>
      <c r="R55" s="14"/>
    </row>
    <row r="56" spans="1:18" ht="12.75" customHeight="1">
      <c r="E56" s="85"/>
      <c r="F56" s="85"/>
      <c r="G56" s="85"/>
      <c r="H56" s="85"/>
      <c r="I56" s="85"/>
      <c r="J56" s="85"/>
      <c r="K56" s="14"/>
      <c r="L56" s="14"/>
      <c r="M56" s="14"/>
      <c r="N56" s="14"/>
      <c r="O56" s="14"/>
      <c r="P56" s="14"/>
      <c r="Q56" s="14"/>
      <c r="R56" s="14"/>
    </row>
    <row r="57" spans="1:18" ht="12.75" customHeight="1">
      <c r="D57" s="6"/>
      <c r="E57" s="85"/>
      <c r="F57" s="85"/>
      <c r="G57" s="85"/>
      <c r="H57" s="85"/>
      <c r="I57" s="85"/>
      <c r="J57" s="85"/>
      <c r="K57" s="14"/>
      <c r="L57" s="14"/>
      <c r="M57" s="14"/>
      <c r="N57" s="14"/>
      <c r="O57" s="14"/>
      <c r="P57" s="14"/>
      <c r="Q57" s="14"/>
      <c r="R57" s="14"/>
    </row>
    <row r="58" spans="1:18" ht="12.75" customHeight="1">
      <c r="D58" s="6"/>
      <c r="E58" s="85"/>
      <c r="F58" s="85"/>
      <c r="G58" s="85"/>
      <c r="H58" s="85"/>
      <c r="I58" s="85"/>
      <c r="J58" s="85"/>
      <c r="K58" s="14"/>
      <c r="L58" s="14"/>
      <c r="M58" s="14"/>
      <c r="N58" s="14"/>
      <c r="O58" s="14"/>
      <c r="P58" s="14"/>
      <c r="Q58" s="14"/>
      <c r="R58" s="14"/>
    </row>
    <row r="59" spans="1:18" ht="12.75" customHeight="1">
      <c r="D59" s="6"/>
      <c r="E59" s="85"/>
      <c r="F59" s="85"/>
      <c r="G59" s="85"/>
      <c r="H59" s="85"/>
      <c r="I59" s="85"/>
      <c r="J59" s="85"/>
      <c r="K59" s="14"/>
      <c r="L59" s="14"/>
      <c r="M59" s="14"/>
      <c r="N59" s="14"/>
      <c r="O59" s="14"/>
      <c r="P59" s="14"/>
      <c r="Q59" s="14"/>
      <c r="R59" s="14"/>
    </row>
    <row r="60" spans="1:18" ht="12.75" customHeight="1">
      <c r="D60" s="6"/>
      <c r="E60" s="85"/>
      <c r="F60" s="85"/>
      <c r="G60" s="85"/>
      <c r="H60" s="85"/>
      <c r="I60" s="85"/>
      <c r="J60" s="85"/>
      <c r="K60" s="14"/>
      <c r="L60" s="14"/>
      <c r="M60" s="14"/>
      <c r="N60" s="14"/>
      <c r="O60" s="14"/>
      <c r="P60" s="14"/>
      <c r="Q60" s="14"/>
      <c r="R60" s="14"/>
    </row>
    <row r="61" spans="1:18" ht="12.75" customHeight="1">
      <c r="D61" s="6"/>
      <c r="E61" s="85"/>
      <c r="F61" s="85"/>
      <c r="G61" s="85"/>
      <c r="H61" s="85"/>
      <c r="I61" s="85"/>
      <c r="J61" s="85"/>
      <c r="K61" s="14"/>
      <c r="L61" s="14"/>
      <c r="M61" s="14"/>
      <c r="N61" s="14"/>
      <c r="O61" s="14"/>
      <c r="P61" s="14"/>
      <c r="Q61" s="14"/>
      <c r="R61" s="14"/>
    </row>
    <row r="62" spans="1:18" ht="12.75" customHeight="1">
      <c r="E62" s="85"/>
      <c r="F62" s="85"/>
      <c r="G62" s="85"/>
      <c r="H62" s="85"/>
      <c r="I62" s="85"/>
      <c r="J62" s="85"/>
      <c r="K62" s="14"/>
      <c r="L62" s="14"/>
      <c r="M62" s="14"/>
      <c r="N62" s="14"/>
      <c r="O62" s="14"/>
      <c r="P62" s="14"/>
      <c r="Q62" s="14"/>
      <c r="R62" s="14"/>
    </row>
    <row r="63" spans="1:18" ht="12.75" customHeight="1">
      <c r="E63" s="85"/>
      <c r="F63" s="85"/>
      <c r="G63" s="85"/>
      <c r="H63" s="85"/>
      <c r="I63" s="85"/>
      <c r="J63" s="85"/>
      <c r="K63" s="14"/>
      <c r="L63" s="14"/>
      <c r="M63" s="14"/>
      <c r="N63" s="14"/>
      <c r="O63" s="14"/>
      <c r="P63" s="14"/>
      <c r="Q63" s="14"/>
      <c r="R63" s="14"/>
    </row>
    <row r="64" spans="1:18" ht="12.75" customHeight="1">
      <c r="E64" s="85"/>
      <c r="F64" s="85"/>
      <c r="G64" s="85"/>
      <c r="H64" s="85"/>
      <c r="I64" s="85"/>
      <c r="J64" s="85"/>
      <c r="K64" s="14"/>
      <c r="L64" s="14"/>
      <c r="M64" s="14"/>
      <c r="N64" s="14"/>
      <c r="O64" s="14"/>
      <c r="P64" s="14"/>
      <c r="Q64" s="14"/>
      <c r="R64" s="14"/>
    </row>
    <row r="65" spans="5:18" ht="12.75" customHeight="1">
      <c r="E65" s="85"/>
      <c r="F65" s="85"/>
      <c r="G65" s="85"/>
      <c r="H65" s="85"/>
      <c r="I65" s="85"/>
      <c r="J65" s="85"/>
      <c r="K65" s="14"/>
      <c r="L65" s="14"/>
      <c r="M65" s="14"/>
      <c r="N65" s="14"/>
      <c r="O65" s="14"/>
      <c r="P65" s="14"/>
      <c r="Q65" s="14"/>
      <c r="R65" s="14"/>
    </row>
    <row r="66" spans="5:18" ht="12.75" customHeight="1"/>
    <row r="67" spans="5:18" ht="12.75" customHeight="1"/>
    <row r="68" spans="5:18" ht="12.75" customHeight="1"/>
    <row r="69" spans="5:18" ht="12.75" customHeight="1"/>
    <row r="70" spans="5:18" ht="12.75" customHeight="1"/>
    <row r="71" spans="5:18" ht="12.75" customHeight="1"/>
    <row r="72" spans="5:18" ht="12.75" customHeight="1"/>
    <row r="73" spans="5:18" ht="12.75" customHeight="1"/>
    <row r="74" spans="5:18" ht="12.75" customHeight="1"/>
    <row r="75" spans="5:18" ht="12.75" customHeight="1"/>
    <row r="76" spans="5:18" ht="12.75" customHeight="1"/>
    <row r="77" spans="5:18" ht="12.75" customHeight="1"/>
    <row r="78" spans="5:18" ht="12.75" customHeight="1"/>
    <row r="79" spans="5:18" ht="12.75" customHeight="1"/>
    <row r="80" spans="5:18" ht="12.75" customHeight="1"/>
    <row r="81" ht="12.75" customHeight="1"/>
    <row r="82" ht="12.75" customHeight="1"/>
    <row r="83" ht="12.75" customHeight="1"/>
    <row r="84" ht="12.75" customHeight="1"/>
    <row r="85" ht="12.75" customHeight="1"/>
    <row r="86" ht="12.75" customHeight="1"/>
    <row r="87" ht="12.75" customHeight="1"/>
    <row r="88" ht="12.75" customHeight="1"/>
  </sheetData>
  <sheetProtection sheet="1"/>
  <phoneticPr fontId="4" type="noConversion"/>
  <pageMargins left="0.75" right="0.75" top="1" bottom="0.75" header="0.5" footer="0.5"/>
  <pageSetup scale="90"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103"/>
  <sheetViews>
    <sheetView showGridLines="0" zoomScale="110" zoomScaleNormal="110" workbookViewId="0">
      <pane ySplit="6" topLeftCell="A7" activePane="bottomLeft" state="frozen"/>
      <selection pane="bottomLeft" activeCell="F16" sqref="F16"/>
    </sheetView>
  </sheetViews>
  <sheetFormatPr defaultColWidth="8.85546875" defaultRowHeight="12" outlineLevelRow="1"/>
  <cols>
    <col min="1" max="3" width="3" style="6" customWidth="1"/>
    <col min="4" max="4" width="22.28515625" style="1" customWidth="1"/>
    <col min="5" max="5" width="4.42578125" style="1" customWidth="1"/>
    <col min="6" max="6" width="12.140625" style="1" customWidth="1"/>
    <col min="7" max="7" width="8.7109375" style="1" customWidth="1"/>
    <col min="8" max="8" width="4.42578125" style="1" customWidth="1"/>
    <col min="9" max="9" width="12.42578125" style="1" customWidth="1"/>
    <col min="10" max="10" width="10.85546875" style="1" customWidth="1"/>
    <col min="11" max="11" width="4.140625" style="1" customWidth="1"/>
    <col min="12" max="12" width="10.7109375" style="1" customWidth="1"/>
    <col min="13" max="13" width="8.140625" style="1" customWidth="1"/>
    <col min="14" max="18" width="10.85546875" customWidth="1"/>
    <col min="19" max="19" width="15.85546875" customWidth="1"/>
  </cols>
  <sheetData>
    <row r="1" spans="1:19" ht="15.75">
      <c r="A1" s="5" t="str">
        <f>+'4a.Prod 1-6 Unit Sales Forecast'!A1</f>
        <v xml:space="preserve"> </v>
      </c>
    </row>
    <row r="2" spans="1:19" ht="15.75">
      <c r="A2" s="5" t="s">
        <v>335</v>
      </c>
    </row>
    <row r="3" spans="1:19" ht="12.75" customHeight="1">
      <c r="A3" s="1"/>
      <c r="B3" s="1"/>
      <c r="C3" s="1"/>
      <c r="N3" s="37"/>
      <c r="O3" s="37"/>
      <c r="P3" s="7"/>
      <c r="Q3" s="7"/>
      <c r="R3" s="7"/>
      <c r="S3" s="7"/>
    </row>
    <row r="4" spans="1:19" ht="12.75" customHeight="1">
      <c r="A4" s="1"/>
      <c r="B4" s="1"/>
      <c r="C4" s="1"/>
      <c r="N4" s="37"/>
      <c r="O4" s="37"/>
      <c r="P4" s="7"/>
      <c r="Q4" s="7"/>
      <c r="R4" s="7"/>
      <c r="S4" s="7"/>
    </row>
    <row r="5" spans="1:19" ht="12.75" customHeight="1">
      <c r="A5" s="1"/>
      <c r="B5" s="1"/>
      <c r="C5" s="1"/>
      <c r="N5" s="37"/>
      <c r="O5" s="37"/>
      <c r="P5" s="7"/>
      <c r="Q5" s="7"/>
      <c r="R5" s="7"/>
      <c r="S5" s="7"/>
    </row>
    <row r="6" spans="1:19" ht="12.75" customHeight="1" thickBot="1">
      <c r="A6" s="1"/>
      <c r="B6" s="1"/>
      <c r="C6" s="1"/>
      <c r="E6" s="83"/>
      <c r="F6" s="40" t="s">
        <v>283</v>
      </c>
      <c r="G6" s="84" t="s">
        <v>216</v>
      </c>
      <c r="H6" s="83"/>
      <c r="I6" s="40" t="s">
        <v>293</v>
      </c>
      <c r="J6" s="84" t="s">
        <v>216</v>
      </c>
      <c r="K6" s="83"/>
      <c r="L6" s="40" t="s">
        <v>284</v>
      </c>
      <c r="M6" s="84" t="s">
        <v>216</v>
      </c>
      <c r="N6" s="83"/>
      <c r="O6" s="83"/>
      <c r="P6" s="15"/>
      <c r="Q6" s="15"/>
      <c r="R6" s="15"/>
      <c r="S6" s="15"/>
    </row>
    <row r="7" spans="1:19" ht="12.75" customHeight="1" thickTop="1">
      <c r="A7" s="85"/>
      <c r="B7" s="85"/>
      <c r="C7" s="85"/>
      <c r="D7" s="85"/>
      <c r="E7" s="85"/>
      <c r="F7" s="85"/>
      <c r="G7" s="283"/>
      <c r="H7" s="85"/>
      <c r="I7" s="85"/>
      <c r="J7" s="85"/>
      <c r="K7" s="85"/>
      <c r="L7" s="85"/>
      <c r="M7" s="85"/>
      <c r="N7" s="82"/>
      <c r="O7" s="82"/>
      <c r="P7" s="17"/>
      <c r="Q7" s="17"/>
      <c r="R7" s="17"/>
      <c r="S7" s="17"/>
    </row>
    <row r="8" spans="1:19" ht="12.75" hidden="1" customHeight="1" outlineLevel="1">
      <c r="A8" s="85" t="str">
        <f>'8. Income Statement'!A8</f>
        <v>Income</v>
      </c>
      <c r="B8" s="85"/>
      <c r="C8" s="85"/>
      <c r="D8" s="85"/>
      <c r="E8" s="85"/>
      <c r="F8" s="85"/>
      <c r="G8" s="283"/>
      <c r="H8" s="85"/>
      <c r="I8" s="85"/>
      <c r="J8" s="283"/>
      <c r="K8" s="85"/>
      <c r="L8" s="85"/>
      <c r="M8" s="283"/>
      <c r="N8" s="82"/>
      <c r="O8" s="82"/>
      <c r="P8" s="17"/>
      <c r="Q8" s="17"/>
      <c r="R8" s="17"/>
      <c r="S8" s="17"/>
    </row>
    <row r="9" spans="1:19" ht="12.75" hidden="1" customHeight="1" outlineLevel="1">
      <c r="A9" s="85"/>
      <c r="B9" s="85" t="str">
        <f>'8. Income Statement'!B9</f>
        <v>Product/Service 1</v>
      </c>
      <c r="C9" s="85"/>
      <c r="D9" s="85"/>
      <c r="E9" s="85"/>
      <c r="F9" s="280">
        <f>'8. Income Statement'!Q9</f>
        <v>0</v>
      </c>
      <c r="G9" s="283"/>
      <c r="H9" s="85"/>
      <c r="I9" s="280">
        <f>'12. Income Statement (2)'!Q9</f>
        <v>0</v>
      </c>
      <c r="J9" s="283"/>
      <c r="K9" s="85"/>
      <c r="L9" s="280">
        <f>'15. Income Statement (3)'!Q9</f>
        <v>0</v>
      </c>
      <c r="M9" s="283"/>
      <c r="N9" s="82"/>
      <c r="O9" s="82"/>
      <c r="P9" s="17"/>
      <c r="Q9" s="17"/>
      <c r="R9" s="17"/>
      <c r="S9" s="17"/>
    </row>
    <row r="10" spans="1:19" ht="12.75" hidden="1" customHeight="1" outlineLevel="1">
      <c r="A10" s="85"/>
      <c r="B10" s="85" t="str">
        <f>'8. Income Statement'!B10</f>
        <v>Product/Service 2</v>
      </c>
      <c r="C10" s="85"/>
      <c r="D10" s="85"/>
      <c r="E10" s="85"/>
      <c r="F10" s="280">
        <f>'8. Income Statement'!Q10</f>
        <v>0</v>
      </c>
      <c r="G10" s="283"/>
      <c r="H10" s="85"/>
      <c r="I10" s="280">
        <f>'12. Income Statement (2)'!Q10</f>
        <v>0</v>
      </c>
      <c r="J10" s="283"/>
      <c r="K10" s="85"/>
      <c r="L10" s="280">
        <f>'15. Income Statement (3)'!Q10</f>
        <v>0</v>
      </c>
      <c r="M10" s="283"/>
      <c r="N10" s="82"/>
      <c r="O10" s="82"/>
      <c r="P10" s="17"/>
      <c r="Q10" s="17"/>
      <c r="R10" s="17"/>
      <c r="S10" s="17"/>
    </row>
    <row r="11" spans="1:19" ht="12.75" hidden="1" customHeight="1" outlineLevel="1">
      <c r="A11" s="85"/>
      <c r="B11" s="85" t="str">
        <f>'8. Income Statement'!B11</f>
        <v>Product/Service 3</v>
      </c>
      <c r="C11" s="85"/>
      <c r="D11" s="85"/>
      <c r="E11" s="85"/>
      <c r="F11" s="280">
        <f>'8. Income Statement'!Q11</f>
        <v>0</v>
      </c>
      <c r="G11" s="283"/>
      <c r="H11" s="85"/>
      <c r="I11" s="280">
        <f>'12. Income Statement (2)'!Q11</f>
        <v>0</v>
      </c>
      <c r="J11" s="283"/>
      <c r="K11" s="85"/>
      <c r="L11" s="280">
        <f>'15. Income Statement (3)'!Q11</f>
        <v>0</v>
      </c>
      <c r="M11" s="283"/>
      <c r="N11" s="82"/>
      <c r="O11" s="82"/>
      <c r="P11" s="17"/>
      <c r="Q11" s="17"/>
      <c r="R11" s="17"/>
      <c r="S11" s="17"/>
    </row>
    <row r="12" spans="1:19" ht="12.75" hidden="1" customHeight="1" outlineLevel="1">
      <c r="A12" s="85"/>
      <c r="B12" s="85" t="str">
        <f>'8. Income Statement'!B12</f>
        <v>Product/Service 4</v>
      </c>
      <c r="C12" s="85"/>
      <c r="D12" s="85"/>
      <c r="E12" s="85"/>
      <c r="F12" s="280">
        <f>'8. Income Statement'!Q12</f>
        <v>0</v>
      </c>
      <c r="G12" s="283"/>
      <c r="H12" s="85"/>
      <c r="I12" s="280">
        <f>'12. Income Statement (2)'!Q12</f>
        <v>0</v>
      </c>
      <c r="J12" s="283"/>
      <c r="K12" s="85"/>
      <c r="L12" s="280">
        <f>'15. Income Statement (3)'!Q12</f>
        <v>0</v>
      </c>
      <c r="M12" s="283"/>
      <c r="N12" s="82"/>
      <c r="O12" s="82"/>
      <c r="P12" s="17"/>
      <c r="Q12" s="17"/>
      <c r="R12" s="17"/>
      <c r="S12" s="17"/>
    </row>
    <row r="13" spans="1:19" ht="12.75" hidden="1" customHeight="1" outlineLevel="1">
      <c r="A13" s="85"/>
      <c r="B13" s="85" t="str">
        <f>'8. Income Statement'!B13</f>
        <v>Product/Service 5</v>
      </c>
      <c r="C13" s="85"/>
      <c r="D13" s="85"/>
      <c r="E13" s="85"/>
      <c r="F13" s="280">
        <f>'8. Income Statement'!Q13</f>
        <v>0</v>
      </c>
      <c r="G13" s="283"/>
      <c r="H13" s="85"/>
      <c r="I13" s="280">
        <f>'12. Income Statement (2)'!Q13</f>
        <v>0</v>
      </c>
      <c r="J13" s="283"/>
      <c r="K13" s="85"/>
      <c r="L13" s="280">
        <f>'15. Income Statement (3)'!Q13</f>
        <v>0</v>
      </c>
      <c r="M13" s="283"/>
      <c r="N13" s="82"/>
      <c r="O13" s="82"/>
      <c r="P13" s="17"/>
      <c r="Q13" s="17"/>
      <c r="R13" s="17"/>
      <c r="S13" s="17"/>
    </row>
    <row r="14" spans="1:19" ht="12.75" hidden="1" customHeight="1" outlineLevel="1">
      <c r="A14" s="85"/>
      <c r="B14" s="85" t="str">
        <f>'8. Income Statement'!B14</f>
        <v>Product/Service 6</v>
      </c>
      <c r="C14" s="85"/>
      <c r="D14" s="85"/>
      <c r="E14" s="85"/>
      <c r="F14" s="280">
        <f>'8. Income Statement'!Q14</f>
        <v>0</v>
      </c>
      <c r="G14" s="283"/>
      <c r="H14" s="85"/>
      <c r="I14" s="280">
        <f>'12. Income Statement (2)'!Q14</f>
        <v>0</v>
      </c>
      <c r="J14" s="283"/>
      <c r="K14" s="85"/>
      <c r="L14" s="280">
        <f>'15. Income Statement (3)'!Q14</f>
        <v>0</v>
      </c>
      <c r="M14" s="283"/>
      <c r="N14" s="82"/>
      <c r="O14" s="82"/>
      <c r="P14" s="17"/>
      <c r="Q14" s="17"/>
      <c r="R14" s="17"/>
      <c r="S14" s="17"/>
    </row>
    <row r="15" spans="1:19" ht="12.75" hidden="1" customHeight="1" outlineLevel="1" thickBot="1">
      <c r="A15" s="85"/>
      <c r="B15" s="85" t="str">
        <f>'8. Income Statement'!B15</f>
        <v>Total of Multi-Product</v>
      </c>
      <c r="C15" s="85"/>
      <c r="D15" s="85"/>
      <c r="E15" s="85"/>
      <c r="F15" s="281">
        <f>'8. Income Statement'!Q15</f>
        <v>0</v>
      </c>
      <c r="G15" s="283"/>
      <c r="H15" s="85"/>
      <c r="I15" s="281">
        <f>'12. Income Statement (2)'!Q15</f>
        <v>0</v>
      </c>
      <c r="J15" s="283"/>
      <c r="K15" s="85"/>
      <c r="L15" s="281">
        <f>'15. Income Statement (3)'!Q15</f>
        <v>0</v>
      </c>
      <c r="M15" s="283"/>
      <c r="N15" s="82"/>
      <c r="O15" s="82"/>
      <c r="P15" s="17"/>
      <c r="Q15" s="17"/>
      <c r="R15" s="17"/>
      <c r="S15" s="17"/>
    </row>
    <row r="16" spans="1:19" ht="12.75" customHeight="1" collapsed="1">
      <c r="A16" s="85" t="str">
        <f>'8. Income Statement'!A16</f>
        <v>Total Income</v>
      </c>
      <c r="B16" s="85"/>
      <c r="C16" s="85"/>
      <c r="D16" s="85"/>
      <c r="E16" s="85"/>
      <c r="F16" s="280">
        <f>'8. Income Statement'!Q16</f>
        <v>0</v>
      </c>
      <c r="G16" s="283">
        <v>1</v>
      </c>
      <c r="H16" s="85"/>
      <c r="I16" s="148">
        <f>SUM(I9:I15)</f>
        <v>0</v>
      </c>
      <c r="J16" s="283">
        <v>1</v>
      </c>
      <c r="K16" s="85"/>
      <c r="L16" s="148">
        <f>SUM(L9:L15)</f>
        <v>0</v>
      </c>
      <c r="M16" s="283">
        <v>1</v>
      </c>
      <c r="N16" s="82"/>
      <c r="O16" s="82"/>
      <c r="P16" s="17"/>
      <c r="Q16" s="17"/>
      <c r="R16" s="17"/>
      <c r="S16" s="17"/>
    </row>
    <row r="17" spans="1:19" ht="12.75" customHeight="1">
      <c r="A17" s="85"/>
      <c r="B17" s="85"/>
      <c r="C17" s="85"/>
      <c r="D17" s="85"/>
      <c r="E17" s="85"/>
      <c r="F17" s="85"/>
      <c r="G17" s="283"/>
      <c r="H17" s="85"/>
      <c r="I17" s="85"/>
      <c r="J17" s="283"/>
      <c r="K17" s="85"/>
      <c r="L17" s="85"/>
      <c r="M17" s="283"/>
      <c r="N17" s="82"/>
      <c r="O17" s="82"/>
      <c r="P17" s="17"/>
      <c r="Q17" s="17"/>
      <c r="R17" s="17"/>
      <c r="S17" s="17"/>
    </row>
    <row r="18" spans="1:19" ht="12.75" hidden="1" customHeight="1" outlineLevel="1">
      <c r="A18" s="85" t="str">
        <f>'8. Income Statement'!A18</f>
        <v>Cost of Sales</v>
      </c>
      <c r="B18" s="85"/>
      <c r="C18" s="85"/>
      <c r="D18" s="85"/>
      <c r="E18" s="280"/>
      <c r="F18" s="280"/>
      <c r="G18" s="283"/>
      <c r="H18" s="280"/>
      <c r="I18" s="280"/>
      <c r="J18" s="283"/>
      <c r="K18" s="280"/>
      <c r="L18" s="280"/>
      <c r="M18" s="283"/>
      <c r="N18" s="86"/>
      <c r="O18" s="86"/>
      <c r="P18" s="18"/>
      <c r="Q18" s="18"/>
      <c r="R18" s="18"/>
      <c r="S18" s="18"/>
    </row>
    <row r="19" spans="1:19" ht="12.75" hidden="1" customHeight="1" outlineLevel="1">
      <c r="A19" s="85"/>
      <c r="B19" s="85" t="str">
        <f>'8. Income Statement'!B19</f>
        <v>Product/Service 1</v>
      </c>
      <c r="C19" s="85"/>
      <c r="D19" s="85"/>
      <c r="E19" s="280"/>
      <c r="F19" s="280">
        <f>'8. Income Statement'!Q19</f>
        <v>0</v>
      </c>
      <c r="G19" s="283"/>
      <c r="H19" s="280"/>
      <c r="I19" s="280">
        <f>'12. Income Statement (2)'!Q19</f>
        <v>0</v>
      </c>
      <c r="J19" s="283"/>
      <c r="K19" s="280"/>
      <c r="L19" s="280">
        <f>'15. Income Statement (3)'!Q19</f>
        <v>0</v>
      </c>
      <c r="M19" s="283"/>
      <c r="N19" s="86"/>
      <c r="O19" s="86"/>
      <c r="P19" s="18"/>
      <c r="Q19" s="18"/>
      <c r="R19" s="18"/>
      <c r="S19" s="18"/>
    </row>
    <row r="20" spans="1:19" ht="12.75" hidden="1" customHeight="1" outlineLevel="1">
      <c r="A20" s="85"/>
      <c r="B20" s="85" t="str">
        <f>'8. Income Statement'!B20</f>
        <v>Product/Service 2</v>
      </c>
      <c r="C20" s="85"/>
      <c r="D20" s="85"/>
      <c r="E20" s="148"/>
      <c r="F20" s="280">
        <f>'8. Income Statement'!Q20</f>
        <v>0</v>
      </c>
      <c r="G20" s="283"/>
      <c r="H20" s="148"/>
      <c r="I20" s="280">
        <f>'12. Income Statement (2)'!Q20</f>
        <v>0</v>
      </c>
      <c r="J20" s="283"/>
      <c r="K20" s="148"/>
      <c r="L20" s="280">
        <f>'15. Income Statement (3)'!Q20</f>
        <v>0</v>
      </c>
      <c r="M20" s="283"/>
      <c r="N20" s="87"/>
      <c r="O20" s="87"/>
      <c r="P20" s="19"/>
      <c r="Q20" s="19"/>
      <c r="R20" s="19"/>
      <c r="S20" s="19"/>
    </row>
    <row r="21" spans="1:19" ht="12.75" hidden="1" customHeight="1" outlineLevel="1">
      <c r="A21" s="85"/>
      <c r="B21" s="85" t="str">
        <f>'8. Income Statement'!B21</f>
        <v>Product/Service 3</v>
      </c>
      <c r="C21" s="85"/>
      <c r="D21" s="85"/>
      <c r="E21" s="148"/>
      <c r="F21" s="280">
        <f>'8. Income Statement'!Q21</f>
        <v>0</v>
      </c>
      <c r="G21" s="283"/>
      <c r="H21" s="148"/>
      <c r="I21" s="280">
        <f>'12. Income Statement (2)'!Q21</f>
        <v>0</v>
      </c>
      <c r="J21" s="283"/>
      <c r="K21" s="148"/>
      <c r="L21" s="280">
        <f>'15. Income Statement (3)'!Q21</f>
        <v>0</v>
      </c>
      <c r="M21" s="283"/>
      <c r="N21" s="87"/>
      <c r="O21" s="87"/>
      <c r="P21" s="19"/>
      <c r="Q21" s="19"/>
      <c r="R21" s="19"/>
      <c r="S21" s="19"/>
    </row>
    <row r="22" spans="1:19" ht="12.75" hidden="1" customHeight="1" outlineLevel="1">
      <c r="A22" s="85"/>
      <c r="B22" s="85" t="str">
        <f>'8. Income Statement'!B22</f>
        <v>Product/Service 4</v>
      </c>
      <c r="C22" s="85"/>
      <c r="D22" s="85"/>
      <c r="E22" s="148"/>
      <c r="F22" s="280">
        <f>'8. Income Statement'!Q22</f>
        <v>0</v>
      </c>
      <c r="G22" s="283"/>
      <c r="H22" s="148"/>
      <c r="I22" s="280">
        <f>'12. Income Statement (2)'!Q22</f>
        <v>0</v>
      </c>
      <c r="J22" s="283"/>
      <c r="K22" s="148"/>
      <c r="L22" s="280">
        <f>'15. Income Statement (3)'!Q22</f>
        <v>0</v>
      </c>
      <c r="M22" s="283"/>
      <c r="N22" s="87"/>
      <c r="O22" s="87"/>
      <c r="P22" s="19"/>
      <c r="Q22" s="19"/>
      <c r="R22" s="19"/>
      <c r="S22" s="19"/>
    </row>
    <row r="23" spans="1:19" ht="12.75" hidden="1" customHeight="1" outlineLevel="1">
      <c r="A23" s="85"/>
      <c r="B23" s="85" t="str">
        <f>'8. Income Statement'!B23</f>
        <v>Product/Service 5</v>
      </c>
      <c r="C23" s="85"/>
      <c r="D23" s="85"/>
      <c r="E23" s="148"/>
      <c r="F23" s="280">
        <f>'8. Income Statement'!Q23</f>
        <v>0</v>
      </c>
      <c r="G23" s="283"/>
      <c r="H23" s="148"/>
      <c r="I23" s="280">
        <f>'12. Income Statement (2)'!Q23</f>
        <v>0</v>
      </c>
      <c r="J23" s="283"/>
      <c r="K23" s="148"/>
      <c r="L23" s="280">
        <f>'15. Income Statement (3)'!Q23</f>
        <v>0</v>
      </c>
      <c r="M23" s="283"/>
      <c r="N23" s="87"/>
      <c r="O23" s="87"/>
      <c r="P23" s="19"/>
      <c r="Q23" s="19"/>
      <c r="R23" s="19"/>
      <c r="S23" s="19"/>
    </row>
    <row r="24" spans="1:19" ht="12.75" hidden="1" customHeight="1" outlineLevel="1">
      <c r="A24" s="85"/>
      <c r="B24" s="85" t="str">
        <f>'8. Income Statement'!B24</f>
        <v>Product/Service 6</v>
      </c>
      <c r="C24" s="85"/>
      <c r="D24" s="85"/>
      <c r="E24" s="148"/>
      <c r="F24" s="280">
        <f>'8. Income Statement'!Q24</f>
        <v>0</v>
      </c>
      <c r="G24" s="283"/>
      <c r="H24" s="148"/>
      <c r="I24" s="280">
        <f>'12. Income Statement (2)'!Q24</f>
        <v>0</v>
      </c>
      <c r="J24" s="283"/>
      <c r="K24" s="148"/>
      <c r="L24" s="280">
        <f>'15. Income Statement (3)'!Q24</f>
        <v>0</v>
      </c>
      <c r="M24" s="283"/>
      <c r="N24" s="87"/>
      <c r="O24" s="87"/>
      <c r="P24" s="19"/>
      <c r="Q24" s="19"/>
      <c r="R24" s="19"/>
      <c r="S24" s="19"/>
    </row>
    <row r="25" spans="1:19" ht="12.75" hidden="1" customHeight="1" outlineLevel="1">
      <c r="A25" s="85"/>
      <c r="B25" s="85" t="str">
        <f>'8. Income Statement'!B25</f>
        <v>Total of Multi-Product</v>
      </c>
      <c r="C25" s="85"/>
      <c r="D25" s="85"/>
      <c r="E25" s="280"/>
      <c r="F25" s="280">
        <f>'8. Income Statement'!Q25</f>
        <v>0</v>
      </c>
      <c r="G25" s="285"/>
      <c r="H25" s="280"/>
      <c r="I25" s="280">
        <f>'12. Income Statement (2)'!Q25</f>
        <v>0</v>
      </c>
      <c r="J25" s="285"/>
      <c r="K25" s="280"/>
      <c r="L25" s="280">
        <f>'15. Income Statement (3)'!Q25</f>
        <v>0</v>
      </c>
      <c r="M25" s="285"/>
      <c r="N25" s="86"/>
      <c r="O25" s="86"/>
      <c r="P25" s="18"/>
      <c r="Q25" s="18"/>
      <c r="R25" s="18"/>
      <c r="S25" s="18"/>
    </row>
    <row r="26" spans="1:19" ht="12.75" customHeight="1" collapsed="1">
      <c r="A26" s="85" t="str">
        <f>'8. Income Statement'!A26</f>
        <v>Total Cost of Sales</v>
      </c>
      <c r="B26" s="85"/>
      <c r="C26" s="85"/>
      <c r="D26" s="85"/>
      <c r="E26" s="280"/>
      <c r="F26" s="347">
        <f>SUM(F19:F25)</f>
        <v>0</v>
      </c>
      <c r="G26" s="283">
        <f>IF(F26=0,0,F26/F16)</f>
        <v>0</v>
      </c>
      <c r="H26" s="280"/>
      <c r="I26" s="347">
        <f>SUM(I19:I25)</f>
        <v>0</v>
      </c>
      <c r="J26" s="283">
        <f>IF(I26=0,0,I26/I16)</f>
        <v>0</v>
      </c>
      <c r="K26" s="280"/>
      <c r="L26" s="347">
        <f>SUM(L19:L25)</f>
        <v>0</v>
      </c>
      <c r="M26" s="283">
        <f>IF(L26=0,0,L26/L16)</f>
        <v>0</v>
      </c>
      <c r="N26" s="86"/>
      <c r="O26" s="86"/>
      <c r="P26" s="18"/>
      <c r="Q26" s="18"/>
      <c r="R26" s="18"/>
      <c r="S26" s="18"/>
    </row>
    <row r="27" spans="1:19" ht="12.75" customHeight="1">
      <c r="A27" s="85"/>
      <c r="B27" s="85"/>
      <c r="C27" s="85"/>
      <c r="D27" s="85"/>
      <c r="E27" s="148"/>
      <c r="F27" s="148"/>
      <c r="G27" s="283"/>
      <c r="H27" s="148"/>
      <c r="I27" s="148"/>
      <c r="J27" s="283"/>
      <c r="K27" s="148"/>
      <c r="L27" s="148"/>
      <c r="M27" s="283"/>
      <c r="N27" s="87"/>
      <c r="O27" s="87"/>
      <c r="P27" s="19"/>
      <c r="Q27" s="19"/>
      <c r="R27" s="19"/>
      <c r="S27" s="19"/>
    </row>
    <row r="28" spans="1:19" ht="12.75" customHeight="1" thickBot="1">
      <c r="A28" s="85" t="str">
        <f>'8. Income Statement'!A28</f>
        <v>Gross Margin</v>
      </c>
      <c r="B28" s="85"/>
      <c r="C28" s="85"/>
      <c r="D28" s="85"/>
      <c r="E28" s="148"/>
      <c r="F28" s="286">
        <f>'8. Income Statement'!Q28</f>
        <v>0</v>
      </c>
      <c r="G28" s="283">
        <f>IF(F28=0,0,F28/F16)</f>
        <v>0</v>
      </c>
      <c r="H28" s="148"/>
      <c r="I28" s="286">
        <f>'12. Income Statement (2)'!Q28</f>
        <v>0</v>
      </c>
      <c r="J28" s="283">
        <f>IF(I28=0,0,I28/I16)</f>
        <v>0</v>
      </c>
      <c r="K28" s="148"/>
      <c r="L28" s="286">
        <f>'15. Income Statement (3)'!Q28</f>
        <v>0</v>
      </c>
      <c r="M28" s="283">
        <f>IF(L28=0,0,L28/L16)</f>
        <v>0</v>
      </c>
      <c r="N28" s="87"/>
      <c r="O28" s="87"/>
      <c r="P28" s="19"/>
      <c r="Q28" s="19"/>
      <c r="R28" s="19"/>
      <c r="S28" s="19"/>
    </row>
    <row r="29" spans="1:19" ht="12.75" customHeight="1">
      <c r="A29" s="85"/>
      <c r="B29" s="85"/>
      <c r="C29" s="85"/>
      <c r="D29" s="85"/>
      <c r="E29" s="148"/>
      <c r="F29" s="148"/>
      <c r="G29" s="283"/>
      <c r="H29" s="148"/>
      <c r="I29" s="148"/>
      <c r="J29" s="283"/>
      <c r="K29" s="148"/>
      <c r="L29" s="148"/>
      <c r="M29" s="283"/>
      <c r="N29" s="87"/>
      <c r="O29" s="87"/>
      <c r="P29" s="19"/>
      <c r="Q29" s="19"/>
      <c r="R29" s="19"/>
      <c r="S29" s="19"/>
    </row>
    <row r="30" spans="1:19" ht="12.75" hidden="1" customHeight="1" outlineLevel="1">
      <c r="A30" s="85" t="str">
        <f>'8. Income Statement'!A30</f>
        <v>Salaries and Wages</v>
      </c>
      <c r="B30" s="85"/>
      <c r="C30" s="85"/>
      <c r="D30" s="85"/>
      <c r="E30" s="280"/>
      <c r="F30" s="280"/>
      <c r="G30" s="283"/>
      <c r="H30" s="280"/>
      <c r="I30" s="280"/>
      <c r="J30" s="283"/>
      <c r="K30" s="280"/>
      <c r="L30" s="280"/>
      <c r="M30" s="283"/>
      <c r="N30" s="86"/>
      <c r="O30" s="86"/>
      <c r="P30" s="18"/>
      <c r="Q30" s="18"/>
      <c r="R30" s="18"/>
      <c r="S30" s="18"/>
    </row>
    <row r="31" spans="1:19" ht="12.75" hidden="1" customHeight="1" outlineLevel="1">
      <c r="A31" s="85"/>
      <c r="B31" s="85" t="str">
        <f>'8. Income Statement'!B31</f>
        <v>Owner's Compensation</v>
      </c>
      <c r="C31" s="85"/>
      <c r="D31" s="85"/>
      <c r="E31" s="280"/>
      <c r="F31" s="280">
        <f>'8. Income Statement'!Q31</f>
        <v>0</v>
      </c>
      <c r="G31" s="283"/>
      <c r="H31" s="280"/>
      <c r="I31" s="280">
        <f>'12. Income Statement (2)'!Q31</f>
        <v>0</v>
      </c>
      <c r="J31" s="283"/>
      <c r="K31" s="280"/>
      <c r="L31" s="280">
        <f>'15. Income Statement (3)'!Q31</f>
        <v>0</v>
      </c>
      <c r="M31" s="283"/>
      <c r="N31" s="86"/>
      <c r="O31" s="86"/>
      <c r="P31" s="18"/>
      <c r="Q31" s="18"/>
      <c r="R31" s="18"/>
      <c r="S31" s="18"/>
    </row>
    <row r="32" spans="1:19" ht="12.75" hidden="1" customHeight="1" outlineLevel="1">
      <c r="A32" s="85"/>
      <c r="B32" s="85" t="str">
        <f>'8. Income Statement'!B32</f>
        <v>Salaries</v>
      </c>
      <c r="C32" s="85"/>
      <c r="D32" s="85"/>
      <c r="E32" s="148"/>
      <c r="F32" s="280">
        <f>'8. Income Statement'!Q32</f>
        <v>0</v>
      </c>
      <c r="G32" s="283"/>
      <c r="H32" s="148"/>
      <c r="I32" s="280">
        <f>'12. Income Statement (2)'!Q32</f>
        <v>0</v>
      </c>
      <c r="J32" s="283"/>
      <c r="K32" s="148"/>
      <c r="L32" s="280">
        <f>'15. Income Statement (3)'!Q32</f>
        <v>0</v>
      </c>
      <c r="M32" s="283"/>
      <c r="N32" s="87"/>
      <c r="O32" s="87"/>
      <c r="P32" s="19"/>
      <c r="Q32" s="19"/>
      <c r="R32" s="19"/>
      <c r="S32" s="19"/>
    </row>
    <row r="33" spans="1:19" ht="12.75" hidden="1" customHeight="1" outlineLevel="1">
      <c r="A33" s="85"/>
      <c r="B33" s="85" t="str">
        <f>'8. Income Statement'!B33</f>
        <v>Full-Time Employees</v>
      </c>
      <c r="C33" s="85"/>
      <c r="D33" s="85"/>
      <c r="E33" s="85"/>
      <c r="F33" s="280">
        <f>'8. Income Statement'!Q33</f>
        <v>0</v>
      </c>
      <c r="G33" s="283"/>
      <c r="H33" s="85"/>
      <c r="I33" s="280">
        <f>'12. Income Statement (2)'!Q33</f>
        <v>0</v>
      </c>
      <c r="J33" s="283"/>
      <c r="K33" s="85"/>
      <c r="L33" s="280">
        <f>'15. Income Statement (3)'!Q33</f>
        <v>0</v>
      </c>
      <c r="M33" s="283"/>
      <c r="N33" s="82"/>
      <c r="O33" s="82"/>
      <c r="P33" s="17"/>
      <c r="Q33" s="17"/>
      <c r="R33" s="17"/>
      <c r="S33" s="17"/>
    </row>
    <row r="34" spans="1:19" ht="12.75" hidden="1" customHeight="1" outlineLevel="1">
      <c r="A34" s="85"/>
      <c r="B34" s="85" t="str">
        <f>'8. Income Statement'!B34</f>
        <v>Part-Time Employees</v>
      </c>
      <c r="C34" s="85"/>
      <c r="D34" s="85"/>
      <c r="E34" s="85"/>
      <c r="F34" s="280">
        <f>'8. Income Statement'!Q34</f>
        <v>0</v>
      </c>
      <c r="G34" s="283"/>
      <c r="H34" s="85"/>
      <c r="I34" s="280">
        <f>'12. Income Statement (2)'!Q34</f>
        <v>0</v>
      </c>
      <c r="J34" s="283"/>
      <c r="K34" s="85"/>
      <c r="L34" s="280">
        <f>'15. Income Statement (3)'!Q34</f>
        <v>0</v>
      </c>
      <c r="M34" s="283"/>
      <c r="N34" s="82"/>
      <c r="O34" s="82"/>
      <c r="P34" s="17"/>
      <c r="Q34" s="17"/>
      <c r="R34" s="17"/>
      <c r="S34" s="17"/>
    </row>
    <row r="35" spans="1:19" ht="12.75" hidden="1" customHeight="1" outlineLevel="1">
      <c r="A35" s="85"/>
      <c r="B35" s="85" t="str">
        <f>'8. Income Statement'!B35</f>
        <v>Independent Contractors</v>
      </c>
      <c r="C35" s="85"/>
      <c r="D35" s="85"/>
      <c r="E35" s="85"/>
      <c r="F35" s="280">
        <f>'8. Income Statement'!Q35</f>
        <v>0</v>
      </c>
      <c r="G35" s="283"/>
      <c r="H35" s="85"/>
      <c r="I35" s="280">
        <f>'12. Income Statement (2)'!Q35</f>
        <v>0</v>
      </c>
      <c r="J35" s="283"/>
      <c r="K35" s="85"/>
      <c r="L35" s="280">
        <f>'15. Income Statement (3)'!Q35</f>
        <v>0</v>
      </c>
      <c r="M35" s="283"/>
      <c r="N35" s="82"/>
      <c r="O35" s="82"/>
      <c r="P35" s="17"/>
      <c r="Q35" s="17"/>
      <c r="R35" s="17"/>
      <c r="S35" s="17"/>
    </row>
    <row r="36" spans="1:19" ht="12.75" hidden="1" customHeight="1" outlineLevel="1" thickBot="1">
      <c r="A36" s="85"/>
      <c r="B36" s="85" t="str">
        <f>'8. Income Statement'!B36</f>
        <v>Payroll Taxes and Benefits</v>
      </c>
      <c r="C36" s="85"/>
      <c r="D36" s="85"/>
      <c r="E36" s="85"/>
      <c r="F36" s="281">
        <f>'8. Income Statement'!Q36</f>
        <v>0</v>
      </c>
      <c r="G36" s="283"/>
      <c r="H36" s="85"/>
      <c r="I36" s="281">
        <f>'12. Income Statement (2)'!Q36</f>
        <v>0</v>
      </c>
      <c r="J36" s="283"/>
      <c r="K36" s="85"/>
      <c r="L36" s="281">
        <f>'15. Income Statement (3)'!Q36</f>
        <v>0</v>
      </c>
      <c r="M36" s="283"/>
      <c r="N36" s="82"/>
      <c r="O36" s="82"/>
      <c r="P36" s="17"/>
      <c r="Q36" s="17"/>
      <c r="R36" s="17"/>
      <c r="S36" s="17"/>
    </row>
    <row r="37" spans="1:19" ht="12.75" customHeight="1" collapsed="1">
      <c r="A37" s="85" t="str">
        <f>'8. Income Statement'!A37</f>
        <v>Total Salary and Wages</v>
      </c>
      <c r="B37" s="85"/>
      <c r="C37" s="85"/>
      <c r="D37" s="85"/>
      <c r="E37" s="85"/>
      <c r="F37" s="148">
        <f>SUM(F31:F36)</f>
        <v>0</v>
      </c>
      <c r="G37" s="283">
        <f>IF(F37=0,0,F37/F16)</f>
        <v>0</v>
      </c>
      <c r="H37" s="85"/>
      <c r="I37" s="148">
        <f>SUM(I31:I36)</f>
        <v>0</v>
      </c>
      <c r="J37" s="283">
        <f>IF(I37=0,0,I37/I16)</f>
        <v>0</v>
      </c>
      <c r="K37" s="85"/>
      <c r="L37" s="148">
        <f>SUM(L31:L36)</f>
        <v>0</v>
      </c>
      <c r="M37" s="283">
        <f>IF(L37=0,0,L37/L16)</f>
        <v>0</v>
      </c>
      <c r="N37" s="82"/>
      <c r="O37" s="82"/>
      <c r="P37" s="17"/>
      <c r="Q37" s="17"/>
      <c r="R37" s="17"/>
      <c r="S37" s="17"/>
    </row>
    <row r="38" spans="1:19" ht="12.75" customHeight="1">
      <c r="A38" s="85"/>
      <c r="B38" s="85"/>
      <c r="C38" s="85"/>
      <c r="D38" s="85"/>
      <c r="E38" s="85"/>
      <c r="F38" s="85"/>
      <c r="G38" s="283"/>
      <c r="H38" s="85"/>
      <c r="I38" s="85"/>
      <c r="J38" s="283"/>
      <c r="K38" s="85"/>
      <c r="L38" s="85"/>
      <c r="M38" s="283"/>
      <c r="N38" s="82"/>
      <c r="O38" s="82"/>
      <c r="P38" s="17"/>
      <c r="Q38" s="17"/>
      <c r="R38" s="17"/>
      <c r="S38" s="17"/>
    </row>
    <row r="39" spans="1:19" ht="12.75" hidden="1" customHeight="1" outlineLevel="1">
      <c r="A39" s="85" t="str">
        <f>'8. Income Statement'!A39</f>
        <v>Fixed Operating Expenses</v>
      </c>
      <c r="B39" s="85"/>
      <c r="C39" s="85"/>
      <c r="D39" s="85"/>
      <c r="E39" s="85"/>
      <c r="F39" s="85"/>
      <c r="G39" s="283"/>
      <c r="H39" s="85"/>
      <c r="I39" s="85"/>
      <c r="J39" s="283"/>
      <c r="K39" s="85"/>
      <c r="L39" s="85"/>
      <c r="M39" s="283"/>
      <c r="N39" s="82"/>
      <c r="O39" s="82"/>
      <c r="P39" s="17"/>
      <c r="Q39" s="17"/>
      <c r="R39" s="17"/>
      <c r="S39" s="17"/>
    </row>
    <row r="40" spans="1:19" ht="12.75" hidden="1" customHeight="1" outlineLevel="1">
      <c r="A40" s="85"/>
      <c r="B40" s="85" t="str">
        <f>'8. Income Statement'!B40</f>
        <v>Advertising</v>
      </c>
      <c r="C40" s="85"/>
      <c r="D40" s="85"/>
      <c r="E40" s="85"/>
      <c r="F40" s="280">
        <f>'8. Income Statement'!Q40</f>
        <v>0</v>
      </c>
      <c r="G40" s="283"/>
      <c r="H40" s="85"/>
      <c r="I40" s="280">
        <f>'12. Income Statement (2)'!Q40</f>
        <v>0</v>
      </c>
      <c r="J40" s="283"/>
      <c r="K40" s="85"/>
      <c r="L40" s="280">
        <f>'15. Income Statement (3)'!Q40</f>
        <v>0</v>
      </c>
      <c r="M40" s="283"/>
      <c r="N40" s="82"/>
      <c r="O40" s="82"/>
      <c r="P40" s="17"/>
      <c r="Q40" s="17"/>
      <c r="R40" s="17"/>
      <c r="S40" s="17"/>
    </row>
    <row r="41" spans="1:19" ht="12.75" hidden="1" customHeight="1" outlineLevel="1">
      <c r="A41" s="85"/>
      <c r="B41" s="85" t="str">
        <f>'8. Income Statement'!B41</f>
        <v>Car and Truck Expenses</v>
      </c>
      <c r="C41" s="85"/>
      <c r="D41" s="85"/>
      <c r="E41" s="280"/>
      <c r="F41" s="280">
        <f>'8. Income Statement'!Q41</f>
        <v>0</v>
      </c>
      <c r="G41" s="283"/>
      <c r="H41" s="280"/>
      <c r="I41" s="280">
        <f>'12. Income Statement (2)'!Q41</f>
        <v>0</v>
      </c>
      <c r="J41" s="283"/>
      <c r="K41" s="280"/>
      <c r="L41" s="280">
        <f>'15. Income Statement (3)'!Q41</f>
        <v>0</v>
      </c>
      <c r="M41" s="283"/>
      <c r="N41" s="86"/>
      <c r="O41" s="86"/>
      <c r="P41" s="18"/>
      <c r="Q41" s="18"/>
      <c r="R41" s="18"/>
      <c r="S41" s="18"/>
    </row>
    <row r="42" spans="1:19" ht="12.75" hidden="1" customHeight="1" outlineLevel="1">
      <c r="A42" s="85"/>
      <c r="B42" s="85" t="str">
        <f>'8. Income Statement'!B42</f>
        <v>Bank &amp; Merchant Fees</v>
      </c>
      <c r="C42" s="85"/>
      <c r="D42" s="85"/>
      <c r="E42" s="148"/>
      <c r="F42" s="280">
        <f>'8. Income Statement'!Q42</f>
        <v>0</v>
      </c>
      <c r="G42" s="283"/>
      <c r="H42" s="148"/>
      <c r="I42" s="280">
        <f>'12. Income Statement (2)'!Q42</f>
        <v>0</v>
      </c>
      <c r="J42" s="283"/>
      <c r="K42" s="148"/>
      <c r="L42" s="280">
        <f>'15. Income Statement (3)'!Q42</f>
        <v>0</v>
      </c>
      <c r="M42" s="283"/>
      <c r="N42" s="87"/>
      <c r="O42" s="87"/>
      <c r="P42" s="19"/>
      <c r="Q42" s="19"/>
      <c r="R42" s="19"/>
      <c r="S42" s="17"/>
    </row>
    <row r="43" spans="1:19" ht="12.75" hidden="1" customHeight="1" outlineLevel="1">
      <c r="A43" s="85"/>
      <c r="B43" s="85" t="str">
        <f>'8. Income Statement'!B43</f>
        <v>Contract Labor</v>
      </c>
      <c r="C43" s="85"/>
      <c r="D43" s="85"/>
      <c r="E43" s="85"/>
      <c r="F43" s="280">
        <f>'8. Income Statement'!Q43</f>
        <v>0</v>
      </c>
      <c r="G43" s="283"/>
      <c r="H43" s="85"/>
      <c r="I43" s="280">
        <f>'12. Income Statement (2)'!Q43</f>
        <v>0</v>
      </c>
      <c r="J43" s="283"/>
      <c r="K43" s="85"/>
      <c r="L43" s="280">
        <f>'15. Income Statement (3)'!Q43</f>
        <v>0</v>
      </c>
      <c r="M43" s="283"/>
      <c r="N43" s="82"/>
      <c r="O43" s="82"/>
      <c r="P43" s="17"/>
      <c r="Q43" s="17"/>
      <c r="R43" s="17"/>
      <c r="S43" s="17"/>
    </row>
    <row r="44" spans="1:19" ht="12.75" hidden="1" customHeight="1" outlineLevel="1">
      <c r="A44" s="85"/>
      <c r="B44" s="85" t="str">
        <f>'8. Income Statement'!B44</f>
        <v>Conferences &amp; Seminars</v>
      </c>
      <c r="C44" s="85"/>
      <c r="D44" s="85"/>
      <c r="E44" s="85"/>
      <c r="F44" s="280">
        <f>'8. Income Statement'!Q44</f>
        <v>0</v>
      </c>
      <c r="G44" s="283"/>
      <c r="H44" s="85"/>
      <c r="I44" s="280">
        <f>'12. Income Statement (2)'!Q44</f>
        <v>0</v>
      </c>
      <c r="J44" s="283"/>
      <c r="K44" s="85"/>
      <c r="L44" s="280">
        <f>'15. Income Statement (3)'!Q44</f>
        <v>0</v>
      </c>
      <c r="M44" s="283"/>
      <c r="N44" s="82"/>
      <c r="O44" s="82"/>
      <c r="P44" s="17"/>
      <c r="Q44" s="17"/>
      <c r="R44" s="17"/>
      <c r="S44" s="17"/>
    </row>
    <row r="45" spans="1:19" ht="12.75" hidden="1" customHeight="1" outlineLevel="1">
      <c r="A45" s="85"/>
      <c r="B45" s="85" t="str">
        <f>'8. Income Statement'!B45</f>
        <v>Customer Discounts and Refunds</v>
      </c>
      <c r="C45" s="85"/>
      <c r="D45" s="85"/>
      <c r="E45" s="85"/>
      <c r="F45" s="280">
        <f>'8. Income Statement'!Q45</f>
        <v>0</v>
      </c>
      <c r="G45" s="283"/>
      <c r="H45" s="85"/>
      <c r="I45" s="280">
        <f>'12. Income Statement (2)'!Q45</f>
        <v>0</v>
      </c>
      <c r="J45" s="283"/>
      <c r="K45" s="85"/>
      <c r="L45" s="280">
        <f>'15. Income Statement (3)'!Q45</f>
        <v>0</v>
      </c>
      <c r="M45" s="283"/>
      <c r="N45" s="82"/>
      <c r="O45" s="82"/>
      <c r="P45" s="17"/>
      <c r="Q45" s="17"/>
      <c r="R45" s="17"/>
      <c r="S45" s="17"/>
    </row>
    <row r="46" spans="1:19" ht="12.75" hidden="1" customHeight="1" outlineLevel="1">
      <c r="A46" s="85"/>
      <c r="B46" s="85" t="str">
        <f>'8. Income Statement'!B46</f>
        <v>Dues and Subscriptions</v>
      </c>
      <c r="C46" s="85"/>
      <c r="D46" s="85"/>
      <c r="E46" s="85"/>
      <c r="F46" s="280">
        <f>'8. Income Statement'!Q46</f>
        <v>0</v>
      </c>
      <c r="G46" s="283"/>
      <c r="H46" s="85"/>
      <c r="I46" s="280">
        <f>'12. Income Statement (2)'!Q46</f>
        <v>0</v>
      </c>
      <c r="J46" s="283"/>
      <c r="K46" s="85"/>
      <c r="L46" s="280">
        <f>'15. Income Statement (3)'!Q46</f>
        <v>0</v>
      </c>
      <c r="M46" s="283"/>
      <c r="N46" s="37"/>
      <c r="O46" s="37"/>
      <c r="P46" s="7"/>
      <c r="Q46" s="7"/>
      <c r="R46" s="7"/>
      <c r="S46" s="7"/>
    </row>
    <row r="47" spans="1:19" ht="12.75" hidden="1" customHeight="1" outlineLevel="1">
      <c r="A47" s="85"/>
      <c r="B47" s="85" t="str">
        <f>'8. Income Statement'!B47</f>
        <v>Miscellaneous</v>
      </c>
      <c r="C47" s="85"/>
      <c r="D47" s="85"/>
      <c r="E47" s="85"/>
      <c r="F47" s="280">
        <f>'8. Income Statement'!Q47</f>
        <v>0</v>
      </c>
      <c r="G47" s="283"/>
      <c r="H47" s="85"/>
      <c r="I47" s="280">
        <f>'12. Income Statement (2)'!Q47</f>
        <v>0</v>
      </c>
      <c r="J47" s="283"/>
      <c r="K47" s="85"/>
      <c r="L47" s="280">
        <f>'15. Income Statement (3)'!Q47</f>
        <v>0</v>
      </c>
      <c r="M47" s="283"/>
      <c r="N47" s="37"/>
      <c r="O47" s="37"/>
      <c r="P47" s="7"/>
      <c r="Q47" s="7"/>
      <c r="R47" s="7"/>
      <c r="S47" s="7"/>
    </row>
    <row r="48" spans="1:19" ht="12.75" hidden="1" customHeight="1" outlineLevel="1">
      <c r="A48" s="85"/>
      <c r="B48" s="85" t="str">
        <f>'8. Income Statement'!B48</f>
        <v>Insurance (Liability and Property)</v>
      </c>
      <c r="C48" s="85"/>
      <c r="D48" s="85"/>
      <c r="E48" s="85"/>
      <c r="F48" s="280">
        <f>'8. Income Statement'!Q48</f>
        <v>0</v>
      </c>
      <c r="G48" s="283"/>
      <c r="H48" s="85"/>
      <c r="I48" s="280">
        <f>'12. Income Statement (2)'!Q48</f>
        <v>0</v>
      </c>
      <c r="J48" s="283"/>
      <c r="K48" s="85"/>
      <c r="L48" s="280">
        <f>'15. Income Statement (3)'!Q48</f>
        <v>0</v>
      </c>
      <c r="M48" s="283"/>
      <c r="N48" s="37"/>
      <c r="O48" s="37"/>
      <c r="P48" s="7"/>
      <c r="Q48" s="7"/>
      <c r="R48" s="7"/>
      <c r="S48" s="7"/>
    </row>
    <row r="49" spans="1:19" ht="12.75" hidden="1" customHeight="1" outlineLevel="1">
      <c r="A49" s="85"/>
      <c r="B49" s="85" t="str">
        <f>'8. Income Statement'!B49</f>
        <v>Licenses/Fees/Permits</v>
      </c>
      <c r="C49" s="85"/>
      <c r="D49" s="85"/>
      <c r="E49" s="85"/>
      <c r="F49" s="280">
        <f>'8. Income Statement'!Q49</f>
        <v>0</v>
      </c>
      <c r="G49" s="283"/>
      <c r="H49" s="85"/>
      <c r="I49" s="280">
        <f>'12. Income Statement (2)'!Q49</f>
        <v>0</v>
      </c>
      <c r="J49" s="283"/>
      <c r="K49" s="85"/>
      <c r="L49" s="280">
        <f>'15. Income Statement (3)'!Q49</f>
        <v>0</v>
      </c>
      <c r="M49" s="283"/>
      <c r="N49" s="37"/>
      <c r="O49" s="37"/>
      <c r="P49" s="7"/>
      <c r="Q49" s="7"/>
      <c r="R49" s="7"/>
      <c r="S49" s="7"/>
    </row>
    <row r="50" spans="1:19" ht="12.75" hidden="1" customHeight="1" outlineLevel="1">
      <c r="A50" s="85"/>
      <c r="B50" s="85" t="str">
        <f>'8. Income Statement'!B50</f>
        <v>Legal and Professional Fees</v>
      </c>
      <c r="C50" s="85"/>
      <c r="D50" s="85"/>
      <c r="E50" s="85"/>
      <c r="F50" s="280">
        <f>'8. Income Statement'!Q50</f>
        <v>0</v>
      </c>
      <c r="G50" s="283"/>
      <c r="H50" s="85"/>
      <c r="I50" s="280">
        <f>'12. Income Statement (2)'!Q50</f>
        <v>0</v>
      </c>
      <c r="J50" s="283"/>
      <c r="K50" s="85"/>
      <c r="L50" s="280">
        <f>'15. Income Statement (3)'!Q50</f>
        <v>0</v>
      </c>
      <c r="M50" s="283"/>
      <c r="N50" s="37"/>
      <c r="O50" s="37"/>
      <c r="P50" s="7"/>
      <c r="Q50" s="7"/>
      <c r="R50" s="7"/>
      <c r="S50" s="7"/>
    </row>
    <row r="51" spans="1:19" ht="12.75" hidden="1" customHeight="1" outlineLevel="1">
      <c r="A51" s="85"/>
      <c r="B51" s="85" t="str">
        <f>'8. Income Statement'!B51</f>
        <v>Office Expenses &amp; Supplies</v>
      </c>
      <c r="C51" s="85"/>
      <c r="D51" s="85"/>
      <c r="E51" s="85"/>
      <c r="F51" s="280">
        <f>'8. Income Statement'!Q51</f>
        <v>0</v>
      </c>
      <c r="G51" s="283"/>
      <c r="H51" s="85"/>
      <c r="I51" s="280">
        <f>'12. Income Statement (2)'!Q51</f>
        <v>0</v>
      </c>
      <c r="J51" s="283"/>
      <c r="K51" s="85"/>
      <c r="L51" s="280">
        <f>'15. Income Statement (3)'!Q51</f>
        <v>0</v>
      </c>
      <c r="M51" s="283"/>
      <c r="N51" s="37"/>
      <c r="O51" s="37"/>
    </row>
    <row r="52" spans="1:19" ht="12.75" hidden="1" customHeight="1" outlineLevel="1">
      <c r="A52" s="85"/>
      <c r="B52" s="85" t="str">
        <f>'8. Income Statement'!B52</f>
        <v>Postage and Delivery</v>
      </c>
      <c r="C52" s="85"/>
      <c r="D52" s="85"/>
      <c r="E52" s="85"/>
      <c r="F52" s="280">
        <f>'8. Income Statement'!Q52</f>
        <v>0</v>
      </c>
      <c r="G52" s="283"/>
      <c r="H52" s="85"/>
      <c r="I52" s="280">
        <f>'12. Income Statement (2)'!Q52</f>
        <v>0</v>
      </c>
      <c r="J52" s="283"/>
      <c r="K52" s="85"/>
      <c r="L52" s="280">
        <f>'15. Income Statement (3)'!Q52</f>
        <v>0</v>
      </c>
      <c r="M52" s="283"/>
      <c r="N52" s="37"/>
      <c r="O52" s="37"/>
    </row>
    <row r="53" spans="1:19" ht="12.75" hidden="1" customHeight="1" outlineLevel="1">
      <c r="A53" s="85"/>
      <c r="B53" s="85" t="str">
        <f>'8. Income Statement'!B53</f>
        <v>Rent (on business property)</v>
      </c>
      <c r="C53" s="85"/>
      <c r="D53" s="85"/>
      <c r="E53" s="85"/>
      <c r="F53" s="280">
        <f>'8. Income Statement'!Q53</f>
        <v>0</v>
      </c>
      <c r="G53" s="283"/>
      <c r="H53" s="85"/>
      <c r="I53" s="280">
        <f>'12. Income Statement (2)'!Q53</f>
        <v>0</v>
      </c>
      <c r="J53" s="283"/>
      <c r="K53" s="85"/>
      <c r="L53" s="280">
        <f>'15. Income Statement (3)'!Q53</f>
        <v>0</v>
      </c>
      <c r="M53" s="283"/>
      <c r="N53" s="37"/>
      <c r="O53" s="37"/>
    </row>
    <row r="54" spans="1:19" ht="12.75" hidden="1" customHeight="1" outlineLevel="1">
      <c r="A54" s="85"/>
      <c r="B54" s="85" t="str">
        <f>'8. Income Statement'!B54</f>
        <v>Rent of Vehicles and Equipment</v>
      </c>
      <c r="C54" s="85"/>
      <c r="D54" s="85"/>
      <c r="E54" s="85"/>
      <c r="F54" s="280">
        <f>'8. Income Statement'!Q54</f>
        <v>0</v>
      </c>
      <c r="G54" s="283"/>
      <c r="H54" s="85"/>
      <c r="I54" s="280">
        <f>'12. Income Statement (2)'!Q54</f>
        <v>0</v>
      </c>
      <c r="J54" s="283"/>
      <c r="K54" s="85"/>
      <c r="L54" s="280">
        <f>'15. Income Statement (3)'!Q54</f>
        <v>0</v>
      </c>
      <c r="M54" s="283"/>
      <c r="N54" s="37"/>
      <c r="O54" s="37"/>
    </row>
    <row r="55" spans="1:19" ht="12.75" hidden="1" customHeight="1" outlineLevel="1">
      <c r="A55" s="85"/>
      <c r="B55" s="85" t="str">
        <f>'8. Income Statement'!B55</f>
        <v>Sales &amp; Marketing</v>
      </c>
      <c r="C55" s="85"/>
      <c r="D55" s="85"/>
      <c r="E55" s="85"/>
      <c r="F55" s="280">
        <f>'8. Income Statement'!Q55</f>
        <v>0</v>
      </c>
      <c r="G55" s="283"/>
      <c r="H55" s="85"/>
      <c r="I55" s="280">
        <f>'12. Income Statement (2)'!Q55</f>
        <v>0</v>
      </c>
      <c r="J55" s="283"/>
      <c r="K55" s="85"/>
      <c r="L55" s="280">
        <f>'15. Income Statement (3)'!Q55</f>
        <v>0</v>
      </c>
      <c r="M55" s="283"/>
      <c r="N55" s="37"/>
      <c r="O55" s="37"/>
    </row>
    <row r="56" spans="1:19" ht="12.75" hidden="1" customHeight="1" outlineLevel="1">
      <c r="A56" s="85"/>
      <c r="B56" s="85" t="str">
        <f>'8. Income Statement'!B56</f>
        <v>Taxes-Other</v>
      </c>
      <c r="C56" s="85"/>
      <c r="D56" s="85"/>
      <c r="E56" s="85"/>
      <c r="F56" s="280">
        <f>'8. Income Statement'!Q56</f>
        <v>0</v>
      </c>
      <c r="G56" s="283"/>
      <c r="H56" s="85"/>
      <c r="I56" s="280">
        <f>'12. Income Statement (2)'!Q56</f>
        <v>0</v>
      </c>
      <c r="J56" s="283"/>
      <c r="K56" s="85"/>
      <c r="L56" s="280">
        <f>'15. Income Statement (3)'!Q56</f>
        <v>0</v>
      </c>
      <c r="M56" s="283"/>
      <c r="N56" s="37"/>
      <c r="O56" s="37"/>
    </row>
    <row r="57" spans="1:19" ht="12.75" hidden="1" customHeight="1" outlineLevel="1">
      <c r="A57" s="85"/>
      <c r="B57" s="85" t="str">
        <f>'8. Income Statement'!B57</f>
        <v>Telephone and Communications</v>
      </c>
      <c r="C57" s="85"/>
      <c r="D57" s="85"/>
      <c r="E57" s="85"/>
      <c r="F57" s="280">
        <f>'8. Income Statement'!Q57</f>
        <v>0</v>
      </c>
      <c r="G57" s="283"/>
      <c r="H57" s="85"/>
      <c r="I57" s="280">
        <f>'12. Income Statement (2)'!Q57</f>
        <v>0</v>
      </c>
      <c r="J57" s="283"/>
      <c r="K57" s="85"/>
      <c r="L57" s="280">
        <f>'15. Income Statement (3)'!Q57</f>
        <v>0</v>
      </c>
      <c r="M57" s="283"/>
      <c r="N57" s="37"/>
      <c r="O57" s="37"/>
    </row>
    <row r="58" spans="1:19" ht="12.75" hidden="1" customHeight="1" outlineLevel="1">
      <c r="A58" s="1"/>
      <c r="B58" s="85" t="str">
        <f>'8. Income Statement'!B58</f>
        <v>Travel</v>
      </c>
      <c r="C58" s="1"/>
      <c r="F58" s="280">
        <f>'8. Income Statement'!Q58</f>
        <v>0</v>
      </c>
      <c r="G58" s="284"/>
      <c r="I58" s="280">
        <f>'12. Income Statement (2)'!Q58</f>
        <v>0</v>
      </c>
      <c r="J58" s="284"/>
      <c r="L58" s="280">
        <f>'15. Income Statement (3)'!Q58</f>
        <v>0</v>
      </c>
      <c r="M58" s="284"/>
      <c r="N58" s="37"/>
      <c r="O58" s="37"/>
    </row>
    <row r="59" spans="1:19" ht="12.75" hidden="1" customHeight="1" outlineLevel="1">
      <c r="A59" s="1"/>
      <c r="B59" s="85" t="str">
        <f>'8. Income Statement'!B59</f>
        <v>Utilities</v>
      </c>
      <c r="C59" s="1"/>
      <c r="F59" s="280">
        <f>'8. Income Statement'!Q59</f>
        <v>0</v>
      </c>
      <c r="G59" s="283"/>
      <c r="I59" s="280">
        <f>'12. Income Statement (2)'!Q59</f>
        <v>0</v>
      </c>
      <c r="J59" s="283"/>
      <c r="L59" s="280">
        <f>'15. Income Statement (3)'!Q59</f>
        <v>0</v>
      </c>
      <c r="M59" s="283"/>
      <c r="N59" s="37"/>
      <c r="O59" s="37"/>
    </row>
    <row r="60" spans="1:19" ht="12.75" customHeight="1" collapsed="1" thickBot="1">
      <c r="A60" s="1" t="str">
        <f>'8. Income Statement'!A60</f>
        <v>Total Operating Expenses</v>
      </c>
      <c r="B60" s="1"/>
      <c r="C60" s="1"/>
      <c r="F60" s="348">
        <f>SUM(F40:F59)</f>
        <v>0</v>
      </c>
      <c r="G60" s="284">
        <f>IF(F60=0,0,F60/F$16)</f>
        <v>0</v>
      </c>
      <c r="I60" s="348">
        <f>SUM(I40:I59)</f>
        <v>0</v>
      </c>
      <c r="J60" s="284">
        <f>IF(I60=0,0,I60/I$16)</f>
        <v>0</v>
      </c>
      <c r="L60" s="348">
        <f>SUM(L40:L59)</f>
        <v>0</v>
      </c>
      <c r="M60" s="284">
        <f>IF(L60=0,0,L60/L$16)</f>
        <v>0</v>
      </c>
      <c r="N60" s="37"/>
      <c r="O60" s="37"/>
    </row>
    <row r="61" spans="1:19" ht="12.75" customHeight="1" thickTop="1">
      <c r="A61" s="1" t="s">
        <v>385</v>
      </c>
      <c r="B61" s="1"/>
      <c r="C61" s="1"/>
      <c r="F61" s="287">
        <f>+F60+F37</f>
        <v>0</v>
      </c>
      <c r="G61" s="284">
        <f>IF(F61=0,0,F61/F$16)</f>
        <v>0</v>
      </c>
      <c r="I61" s="287">
        <f>+I60+I37</f>
        <v>0</v>
      </c>
      <c r="J61" s="284">
        <f>IF(I61=0,0,I61/I$16)</f>
        <v>0</v>
      </c>
      <c r="L61" s="287">
        <f>+L60+L37</f>
        <v>0</v>
      </c>
      <c r="M61" s="284">
        <f>IF(L61=0,0,L61/L$16)</f>
        <v>0</v>
      </c>
      <c r="N61" s="37"/>
      <c r="O61" s="37"/>
    </row>
    <row r="62" spans="1:19" ht="12.75" customHeight="1">
      <c r="A62" s="1"/>
      <c r="B62" s="1"/>
      <c r="C62" s="1"/>
      <c r="F62" s="287"/>
      <c r="G62" s="284"/>
      <c r="I62" s="287"/>
      <c r="J62" s="284"/>
      <c r="L62" s="287"/>
      <c r="M62" s="284"/>
      <c r="N62" s="37"/>
      <c r="O62" s="37"/>
    </row>
    <row r="63" spans="1:19" ht="12.75" customHeight="1" thickBot="1">
      <c r="A63" s="1" t="s">
        <v>336</v>
      </c>
      <c r="B63" s="1"/>
      <c r="C63" s="1"/>
      <c r="F63" s="293">
        <f>+F28-F37-F60</f>
        <v>0</v>
      </c>
      <c r="G63" s="284">
        <f>IF(F63=0,0,F63/F16)</f>
        <v>0</v>
      </c>
      <c r="I63" s="293">
        <f>+I28-I37-I60</f>
        <v>0</v>
      </c>
      <c r="J63" s="284">
        <f>IF(I63=0,0,I63/I16)</f>
        <v>0</v>
      </c>
      <c r="L63" s="293">
        <f>+L28-L37-L60</f>
        <v>0</v>
      </c>
      <c r="M63" s="284">
        <f>IF(L63=0,0,L63/L16)</f>
        <v>0</v>
      </c>
      <c r="N63" s="37"/>
      <c r="O63" s="37"/>
    </row>
    <row r="64" spans="1:19" ht="12.75" customHeight="1" thickTop="1">
      <c r="A64" s="1"/>
      <c r="B64" s="1"/>
      <c r="C64" s="1"/>
      <c r="F64" s="287"/>
      <c r="G64" s="284"/>
      <c r="I64" s="287"/>
      <c r="J64" s="284"/>
      <c r="L64" s="287"/>
      <c r="M64" s="284"/>
      <c r="N64" s="37"/>
      <c r="O64" s="37"/>
    </row>
    <row r="65" spans="1:19" ht="12.75" customHeight="1">
      <c r="A65" s="1"/>
      <c r="B65" s="1"/>
      <c r="C65" s="1"/>
      <c r="E65" s="85"/>
      <c r="F65" s="85"/>
      <c r="G65" s="283"/>
      <c r="H65" s="85"/>
      <c r="I65" s="85"/>
      <c r="J65" s="283"/>
      <c r="K65" s="85"/>
      <c r="L65" s="85"/>
      <c r="M65" s="283"/>
      <c r="N65" s="82"/>
      <c r="O65" s="82"/>
      <c r="P65" s="14"/>
      <c r="Q65" s="14"/>
      <c r="R65" s="14"/>
      <c r="S65" s="14"/>
    </row>
    <row r="66" spans="1:19" ht="12.75" hidden="1" customHeight="1" outlineLevel="1">
      <c r="A66" s="1" t="str">
        <f>'8. Income Statement'!A63</f>
        <v>Other Expenses</v>
      </c>
      <c r="B66" s="1"/>
      <c r="C66" s="1"/>
      <c r="E66" s="85"/>
      <c r="F66" s="85"/>
      <c r="G66" s="283"/>
      <c r="H66" s="85"/>
      <c r="I66" s="85"/>
      <c r="J66" s="283"/>
      <c r="K66" s="85"/>
      <c r="L66" s="85"/>
      <c r="M66" s="283"/>
      <c r="N66" s="82"/>
      <c r="O66" s="82"/>
      <c r="P66" s="14"/>
      <c r="Q66" s="14"/>
      <c r="R66" s="14"/>
      <c r="S66" s="14"/>
    </row>
    <row r="67" spans="1:19" ht="12.75" hidden="1" customHeight="1" outlineLevel="1">
      <c r="A67" s="1"/>
      <c r="B67" s="1" t="s">
        <v>89</v>
      </c>
      <c r="C67" s="1"/>
      <c r="E67" s="85"/>
      <c r="F67" s="148">
        <f>'8. Income Statement'!Q64</f>
        <v>0</v>
      </c>
      <c r="G67" s="288"/>
      <c r="H67" s="148"/>
      <c r="I67" s="148">
        <f>'12. Income Statement (2)'!Q64</f>
        <v>0</v>
      </c>
      <c r="J67" s="288"/>
      <c r="K67" s="148"/>
      <c r="L67" s="148">
        <f>'15. Income Statement (3)'!Q64</f>
        <v>0</v>
      </c>
      <c r="M67" s="283"/>
      <c r="N67" s="82"/>
      <c r="O67" s="82"/>
      <c r="P67" s="14"/>
      <c r="Q67" s="14"/>
      <c r="R67" s="14"/>
      <c r="S67" s="14"/>
    </row>
    <row r="68" spans="1:19" ht="12.75" hidden="1" customHeight="1" outlineLevel="1">
      <c r="A68" s="1"/>
      <c r="B68" s="1" t="str">
        <f>'8. Income Statement'!B65</f>
        <v>Depreciation</v>
      </c>
      <c r="C68" s="1"/>
      <c r="E68" s="85"/>
      <c r="F68" s="280">
        <f>'8. Income Statement'!Q65</f>
        <v>0</v>
      </c>
      <c r="G68" s="283"/>
      <c r="H68" s="85"/>
      <c r="I68" s="280">
        <f>'12. Income Statement (2)'!Q65</f>
        <v>0</v>
      </c>
      <c r="J68" s="283"/>
      <c r="K68" s="85"/>
      <c r="L68" s="280">
        <f>'15. Income Statement (3)'!Q65</f>
        <v>0</v>
      </c>
      <c r="M68" s="283"/>
      <c r="N68" s="82"/>
      <c r="O68" s="82"/>
      <c r="P68" s="14"/>
      <c r="Q68" s="14"/>
      <c r="R68" s="14"/>
      <c r="S68" s="14"/>
    </row>
    <row r="69" spans="1:19" ht="12.75" hidden="1" customHeight="1" outlineLevel="1">
      <c r="A69" s="1"/>
      <c r="B69" s="1" t="str">
        <f>'8. Income Statement'!B66</f>
        <v>Interest</v>
      </c>
      <c r="C69" s="1"/>
      <c r="E69" s="85"/>
      <c r="F69" s="280"/>
      <c r="G69" s="283"/>
      <c r="H69" s="85"/>
      <c r="I69" s="280"/>
      <c r="J69" s="283"/>
      <c r="K69" s="85"/>
      <c r="L69" s="280"/>
      <c r="M69" s="283"/>
      <c r="N69" s="82"/>
      <c r="O69" s="82"/>
      <c r="P69" s="14"/>
      <c r="Q69" s="14"/>
      <c r="R69" s="14"/>
      <c r="S69" s="14"/>
    </row>
    <row r="70" spans="1:19" ht="12.75" hidden="1" customHeight="1" outlineLevel="1">
      <c r="A70" s="1"/>
      <c r="B70" s="1"/>
      <c r="C70" s="1" t="str">
        <f>'8. Income Statement'!C67</f>
        <v>Commercial Loan</v>
      </c>
      <c r="E70" s="85"/>
      <c r="F70" s="280">
        <f>'8. Income Statement'!Q67</f>
        <v>0</v>
      </c>
      <c r="G70" s="283"/>
      <c r="H70" s="85"/>
      <c r="I70" s="280">
        <f>'12. Income Statement (2)'!Q67</f>
        <v>0</v>
      </c>
      <c r="J70" s="283"/>
      <c r="K70" s="85"/>
      <c r="L70" s="280">
        <f>'15. Income Statement (3)'!Q67</f>
        <v>0</v>
      </c>
      <c r="M70" s="283"/>
      <c r="N70" s="82"/>
      <c r="O70" s="82"/>
      <c r="P70" s="14"/>
      <c r="Q70" s="14"/>
      <c r="R70" s="14"/>
      <c r="S70" s="14"/>
    </row>
    <row r="71" spans="1:19" ht="12.75" hidden="1" customHeight="1" outlineLevel="1">
      <c r="A71" s="1"/>
      <c r="B71" s="1"/>
      <c r="C71" s="1" t="str">
        <f>'8. Income Statement'!C68</f>
        <v>Commercial Mortgage</v>
      </c>
      <c r="E71" s="85"/>
      <c r="F71" s="280">
        <f>'8. Income Statement'!Q68</f>
        <v>0</v>
      </c>
      <c r="G71" s="283"/>
      <c r="H71" s="85"/>
      <c r="I71" s="280">
        <f>'12. Income Statement (2)'!Q68</f>
        <v>0</v>
      </c>
      <c r="J71" s="283"/>
      <c r="K71" s="85"/>
      <c r="L71" s="280">
        <f>'15. Income Statement (3)'!Q68</f>
        <v>0</v>
      </c>
      <c r="M71" s="283"/>
      <c r="N71" s="82"/>
      <c r="O71" s="82"/>
      <c r="P71" s="14"/>
      <c r="Q71" s="14"/>
      <c r="R71" s="14"/>
      <c r="S71" s="14"/>
    </row>
    <row r="72" spans="1:19" ht="12.75" hidden="1" customHeight="1" outlineLevel="1">
      <c r="A72" s="1"/>
      <c r="B72" s="1"/>
      <c r="C72" s="1" t="str">
        <f>'8. Income Statement'!C69</f>
        <v>Line of Credit</v>
      </c>
      <c r="E72" s="85"/>
      <c r="F72" s="280">
        <f>'8. Income Statement'!Q69</f>
        <v>0</v>
      </c>
      <c r="G72" s="283"/>
      <c r="H72" s="85"/>
      <c r="I72" s="280">
        <f>'12. Income Statement (2)'!Q69</f>
        <v>0</v>
      </c>
      <c r="J72" s="280">
        <f>'8. Income Statement'!U69</f>
        <v>0</v>
      </c>
      <c r="K72" s="283"/>
      <c r="L72" s="280">
        <f>'15. Income Statement (3)'!Q69</f>
        <v>0</v>
      </c>
      <c r="M72" s="283"/>
      <c r="N72" s="82"/>
      <c r="O72" s="82"/>
      <c r="P72" s="14"/>
      <c r="Q72" s="14"/>
      <c r="R72" s="14"/>
      <c r="S72" s="14"/>
    </row>
    <row r="73" spans="1:19" ht="12.75" hidden="1" customHeight="1" outlineLevel="1">
      <c r="A73" s="1"/>
      <c r="B73" s="1"/>
      <c r="C73" s="1" t="s">
        <v>100</v>
      </c>
      <c r="E73" s="85"/>
      <c r="F73" s="280">
        <f>'8. Income Statement'!Q70</f>
        <v>0</v>
      </c>
      <c r="G73" s="283"/>
      <c r="H73" s="85"/>
      <c r="I73" s="280">
        <f>'12. Income Statement (2)'!Q70</f>
        <v>0</v>
      </c>
      <c r="J73" s="280"/>
      <c r="K73" s="283"/>
      <c r="L73" s="280">
        <f>'15. Income Statement (3)'!Q70</f>
        <v>0</v>
      </c>
      <c r="M73" s="283"/>
      <c r="N73" s="82"/>
      <c r="O73" s="82"/>
      <c r="P73" s="14"/>
      <c r="Q73" s="14"/>
      <c r="R73" s="14"/>
      <c r="S73" s="14"/>
    </row>
    <row r="74" spans="1:19" ht="12.75" hidden="1" customHeight="1" outlineLevel="1">
      <c r="A74" s="1"/>
      <c r="B74" s="1"/>
      <c r="C74" s="1" t="s">
        <v>101</v>
      </c>
      <c r="E74" s="85"/>
      <c r="F74" s="280">
        <f>'8. Income Statement'!Q71</f>
        <v>0</v>
      </c>
      <c r="G74" s="283"/>
      <c r="H74" s="85"/>
      <c r="I74" s="280">
        <f>'12. Income Statement (2)'!Q71</f>
        <v>0</v>
      </c>
      <c r="J74" s="283"/>
      <c r="K74" s="85"/>
      <c r="L74" s="280">
        <f>'15. Income Statement (3)'!Q71</f>
        <v>0</v>
      </c>
      <c r="M74" s="283"/>
      <c r="N74" s="82"/>
      <c r="O74" s="82"/>
      <c r="P74" s="14"/>
      <c r="Q74" s="14"/>
      <c r="R74" s="14"/>
      <c r="S74" s="14"/>
    </row>
    <row r="75" spans="1:19" ht="12.75" hidden="1" customHeight="1" outlineLevel="1">
      <c r="A75" s="1"/>
      <c r="B75" s="1"/>
      <c r="C75" s="1" t="s">
        <v>102</v>
      </c>
      <c r="E75" s="85"/>
      <c r="F75" s="280">
        <f>'8. Income Statement'!Q72</f>
        <v>0</v>
      </c>
      <c r="G75" s="283"/>
      <c r="H75" s="85"/>
      <c r="I75" s="280">
        <f>'12. Income Statement (2)'!Q72</f>
        <v>0</v>
      </c>
      <c r="J75" s="283"/>
      <c r="K75" s="85"/>
      <c r="L75" s="280">
        <f>'15. Income Statement (3)'!Q72</f>
        <v>0</v>
      </c>
      <c r="M75" s="283"/>
      <c r="N75" s="82"/>
      <c r="O75" s="82"/>
      <c r="P75" s="14"/>
      <c r="Q75" s="14"/>
      <c r="R75" s="14"/>
      <c r="S75" s="14"/>
    </row>
    <row r="76" spans="1:19" ht="12.75" hidden="1" customHeight="1" outlineLevel="1" thickBot="1">
      <c r="A76" s="1"/>
      <c r="B76" s="1" t="str">
        <f>'8. Income Statement'!B73</f>
        <v>Taxes</v>
      </c>
      <c r="C76" s="1"/>
      <c r="E76" s="85"/>
      <c r="F76" s="281">
        <f>'8. Income Statement'!Q73</f>
        <v>0</v>
      </c>
      <c r="G76" s="283"/>
      <c r="H76" s="85"/>
      <c r="I76" s="281">
        <f>+'12. Income Statement (2)'!Q73</f>
        <v>0</v>
      </c>
      <c r="J76" s="283"/>
      <c r="K76" s="85"/>
      <c r="L76" s="281">
        <f>+'15. Income Statement (3)'!Q73</f>
        <v>0</v>
      </c>
      <c r="M76" s="283"/>
      <c r="N76" s="82"/>
      <c r="O76" s="82"/>
      <c r="P76" s="14"/>
      <c r="Q76" s="14"/>
      <c r="R76" s="14"/>
      <c r="S76" s="14"/>
    </row>
    <row r="77" spans="1:19" ht="12.75" customHeight="1" collapsed="1">
      <c r="A77" s="1" t="str">
        <f>'8. Income Statement'!A74</f>
        <v>Total Other Expenses</v>
      </c>
      <c r="B77" s="1"/>
      <c r="C77" s="1"/>
      <c r="E77" s="85"/>
      <c r="F77" s="148">
        <f>SUM(F67:F76)</f>
        <v>0</v>
      </c>
      <c r="G77" s="283">
        <f>IF(F77=0,0,F77/F16)</f>
        <v>0</v>
      </c>
      <c r="H77" s="85"/>
      <c r="I77" s="148">
        <f>SUM(I67:I76)</f>
        <v>0</v>
      </c>
      <c r="J77" s="283">
        <f>IF(I77=0,0,I77/I16)</f>
        <v>0</v>
      </c>
      <c r="K77" s="85"/>
      <c r="L77" s="148">
        <f>SUM(L67:L76)</f>
        <v>0</v>
      </c>
      <c r="M77" s="283">
        <f>IF(L77=0,0,L77/L16)</f>
        <v>0</v>
      </c>
      <c r="N77" s="82"/>
      <c r="O77" s="82"/>
      <c r="P77" s="14"/>
      <c r="Q77" s="14"/>
      <c r="R77" s="14"/>
      <c r="S77" s="14"/>
    </row>
    <row r="78" spans="1:19" ht="12.75" customHeight="1" thickBot="1">
      <c r="A78" s="1"/>
      <c r="B78" s="1"/>
      <c r="C78" s="1"/>
      <c r="E78" s="85"/>
      <c r="F78" s="181"/>
      <c r="G78" s="283"/>
      <c r="H78" s="85"/>
      <c r="I78" s="181"/>
      <c r="J78" s="283"/>
      <c r="K78" s="85"/>
      <c r="L78" s="181"/>
      <c r="M78" s="283"/>
      <c r="N78" s="82"/>
      <c r="O78" s="82"/>
      <c r="P78" s="14"/>
      <c r="Q78" s="14"/>
      <c r="R78" s="14"/>
      <c r="S78" s="14"/>
    </row>
    <row r="79" spans="1:19" s="202" customFormat="1" ht="15.75" customHeight="1" thickBot="1">
      <c r="A79" s="103" t="str">
        <f>'8. Income Statement'!A76</f>
        <v>Net Income</v>
      </c>
      <c r="B79" s="103"/>
      <c r="C79" s="103"/>
      <c r="D79" s="103"/>
      <c r="E79" s="20"/>
      <c r="F79" s="289">
        <f>'8. Income Statement'!Q76</f>
        <v>0</v>
      </c>
      <c r="G79" s="94">
        <f>IF(F79=0,0,F79/F16)</f>
        <v>0</v>
      </c>
      <c r="H79" s="20"/>
      <c r="I79" s="289">
        <f>'12. Income Statement (2)'!Q76</f>
        <v>0</v>
      </c>
      <c r="J79" s="94">
        <f>IF(I79=0,0,I79/I16)</f>
        <v>0</v>
      </c>
      <c r="K79" s="20"/>
      <c r="L79" s="289">
        <f>'15. Income Statement (3)'!Q76</f>
        <v>0</v>
      </c>
      <c r="M79" s="94">
        <f>IF(L79=0,0,L79/L16)</f>
        <v>0</v>
      </c>
      <c r="N79" s="43"/>
      <c r="O79" s="43"/>
      <c r="P79" s="16"/>
      <c r="Q79" s="16"/>
      <c r="R79" s="16"/>
      <c r="S79" s="16"/>
    </row>
    <row r="80" spans="1:19" ht="12.75" customHeight="1" thickTop="1">
      <c r="A80" s="1"/>
      <c r="B80" s="1"/>
      <c r="C80" s="1"/>
      <c r="E80" s="85"/>
      <c r="F80" s="85"/>
      <c r="G80" s="85"/>
      <c r="H80" s="85"/>
      <c r="I80" s="85"/>
      <c r="J80" s="85"/>
      <c r="K80" s="85"/>
      <c r="L80" s="85"/>
      <c r="M80" s="85"/>
      <c r="N80" s="82"/>
      <c r="O80" s="82"/>
      <c r="P80" s="14"/>
      <c r="Q80" s="14"/>
      <c r="R80" s="14"/>
      <c r="S80" s="14"/>
    </row>
    <row r="81" spans="1:15" s="175" customFormat="1" ht="12.75" customHeight="1">
      <c r="A81" s="269" t="str">
        <f>IF(SUM(F81:L81)&gt;0,"Line of Credit Balance","")</f>
        <v/>
      </c>
      <c r="B81" s="269"/>
      <c r="C81" s="269"/>
      <c r="D81" s="269"/>
      <c r="E81" s="269"/>
      <c r="F81" s="269">
        <f>+'9. Cash Flow Statement'!P42</f>
        <v>0</v>
      </c>
      <c r="G81" s="269"/>
      <c r="H81" s="269"/>
      <c r="I81" s="269">
        <f>+'13. Cash Flow Statement (2)'!P42</f>
        <v>0</v>
      </c>
      <c r="J81" s="269"/>
      <c r="K81" s="269"/>
      <c r="L81" s="269">
        <f>+'16. Cash Flow Statement (3)'!P42</f>
        <v>0</v>
      </c>
      <c r="M81" s="269"/>
      <c r="N81" s="45"/>
      <c r="O81" s="45"/>
    </row>
    <row r="82" spans="1:15" ht="12.75" customHeight="1">
      <c r="A82" s="1"/>
      <c r="B82" s="1"/>
      <c r="C82" s="1"/>
      <c r="N82" s="37"/>
      <c r="O82" s="37"/>
    </row>
    <row r="83" spans="1:15" ht="12.75" customHeight="1">
      <c r="A83" s="1"/>
      <c r="B83" s="1"/>
      <c r="C83" s="1"/>
      <c r="N83" s="37"/>
      <c r="O83" s="37"/>
    </row>
    <row r="84" spans="1:15" ht="12.75" customHeight="1"/>
    <row r="85" spans="1:15" ht="12.75" customHeight="1"/>
    <row r="86" spans="1:15" ht="12.75" customHeight="1"/>
    <row r="87" spans="1:15" ht="12.75" customHeight="1"/>
    <row r="88" spans="1:15" ht="12.75" customHeight="1"/>
    <row r="89" spans="1:15" ht="12.75" customHeight="1"/>
    <row r="90" spans="1:15" ht="12.75" customHeight="1"/>
    <row r="91" spans="1:15" ht="12.75" customHeight="1"/>
    <row r="92" spans="1:15" ht="12.75" customHeight="1"/>
    <row r="93" spans="1:15" ht="12.75" customHeight="1"/>
    <row r="94" spans="1:15" ht="12.75" customHeight="1"/>
    <row r="95" spans="1:15" ht="12.75" customHeight="1"/>
    <row r="96" spans="1:15" ht="12.75" customHeight="1"/>
    <row r="97" ht="12.75" customHeight="1"/>
    <row r="98" ht="12.75" customHeight="1"/>
    <row r="99" ht="12.75" customHeight="1"/>
    <row r="100" ht="12.75" customHeight="1"/>
    <row r="101" ht="12.75" customHeight="1"/>
    <row r="102" ht="12.75" customHeight="1"/>
    <row r="103" ht="12.75" customHeight="1"/>
  </sheetData>
  <sheetProtection sheet="1"/>
  <phoneticPr fontId="4" type="noConversion"/>
  <pageMargins left="1" right="1" top="1" bottom="1" header="0.5" footer="0.5"/>
  <pageSetup scale="80"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99"/>
  <sheetViews>
    <sheetView showGridLines="0" zoomScale="90" zoomScaleNormal="90" workbookViewId="0">
      <pane ySplit="6" topLeftCell="A7" activePane="bottomLeft" state="frozen"/>
      <selection pane="bottomLeft" activeCell="E32" sqref="E32"/>
    </sheetView>
  </sheetViews>
  <sheetFormatPr defaultColWidth="8.85546875" defaultRowHeight="12" outlineLevelRow="1"/>
  <cols>
    <col min="1" max="3" width="3" style="6" customWidth="1"/>
    <col min="4" max="4" width="22.85546875" customWidth="1"/>
    <col min="5" max="16" width="10.85546875" customWidth="1"/>
    <col min="17" max="17" width="15.85546875" customWidth="1"/>
  </cols>
  <sheetData>
    <row r="1" spans="1:17" ht="15.75">
      <c r="A1" s="5" t="str">
        <f>'1. Required Start-Up Funds'!A1</f>
        <v xml:space="preserve"> </v>
      </c>
    </row>
    <row r="2" spans="1:17" ht="15.75">
      <c r="A2" s="5" t="s">
        <v>42</v>
      </c>
    </row>
    <row r="3" spans="1:17" ht="12.75" customHeight="1">
      <c r="A3" s="1"/>
      <c r="B3" s="1"/>
      <c r="C3" s="1"/>
      <c r="D3" s="37"/>
      <c r="E3" s="37"/>
      <c r="F3" s="37"/>
      <c r="G3" s="37"/>
      <c r="H3" s="37"/>
      <c r="I3" s="37"/>
      <c r="J3" s="37"/>
      <c r="K3" s="37"/>
      <c r="L3" s="37"/>
      <c r="M3" s="37"/>
      <c r="N3" s="37"/>
      <c r="O3" s="37"/>
      <c r="P3" s="37"/>
      <c r="Q3" s="37"/>
    </row>
    <row r="4" spans="1:17" ht="12.75" customHeight="1">
      <c r="A4" s="1"/>
      <c r="B4" s="1"/>
      <c r="C4" s="1"/>
      <c r="D4" s="37"/>
      <c r="E4" s="37"/>
      <c r="F4" s="37"/>
      <c r="G4" s="37"/>
      <c r="H4" s="37"/>
      <c r="I4" s="37"/>
      <c r="J4" s="37"/>
      <c r="K4" s="37"/>
      <c r="L4" s="37"/>
      <c r="M4" s="37"/>
      <c r="N4" s="37"/>
      <c r="O4" s="37"/>
      <c r="P4" s="37"/>
      <c r="Q4" s="37"/>
    </row>
    <row r="5" spans="1:17" ht="12.75" customHeight="1">
      <c r="A5" s="1"/>
      <c r="B5" s="1"/>
      <c r="C5" s="1"/>
      <c r="D5" s="37"/>
      <c r="E5" s="37"/>
      <c r="F5" s="37"/>
      <c r="G5" s="37"/>
      <c r="H5" s="37"/>
      <c r="I5" s="37"/>
      <c r="J5" s="37"/>
      <c r="K5" s="37"/>
      <c r="L5" s="37"/>
      <c r="M5" s="37"/>
      <c r="N5" s="37"/>
      <c r="O5" s="37"/>
      <c r="P5" s="37"/>
      <c r="Q5" s="37"/>
    </row>
    <row r="6" spans="1:17" ht="12.75" customHeight="1" thickBot="1">
      <c r="A6" s="1"/>
      <c r="B6" s="1"/>
      <c r="C6" s="1"/>
      <c r="D6" s="37"/>
      <c r="E6" s="40">
        <f>'4a.Prod 1-6 Unit Sales Forecast'!H6</f>
        <v>1</v>
      </c>
      <c r="F6" s="40">
        <f>'4a.Prod 1-6 Unit Sales Forecast'!I6</f>
        <v>2</v>
      </c>
      <c r="G6" s="40">
        <f>'4a.Prod 1-6 Unit Sales Forecast'!J6</f>
        <v>3</v>
      </c>
      <c r="H6" s="40">
        <f>'4a.Prod 1-6 Unit Sales Forecast'!K6</f>
        <v>4</v>
      </c>
      <c r="I6" s="40">
        <f>'4a.Prod 1-6 Unit Sales Forecast'!L6</f>
        <v>5</v>
      </c>
      <c r="J6" s="40">
        <f>'4a.Prod 1-6 Unit Sales Forecast'!M6</f>
        <v>6</v>
      </c>
      <c r="K6" s="40">
        <f>'4a.Prod 1-6 Unit Sales Forecast'!N6</f>
        <v>7</v>
      </c>
      <c r="L6" s="40">
        <f>'4a.Prod 1-6 Unit Sales Forecast'!O6</f>
        <v>8</v>
      </c>
      <c r="M6" s="40">
        <f>'4a.Prod 1-6 Unit Sales Forecast'!P6</f>
        <v>9</v>
      </c>
      <c r="N6" s="40">
        <f>'4a.Prod 1-6 Unit Sales Forecast'!Q6</f>
        <v>10</v>
      </c>
      <c r="O6" s="40">
        <f>'4a.Prod 1-6 Unit Sales Forecast'!R6</f>
        <v>11</v>
      </c>
      <c r="P6" s="40">
        <f>'4a.Prod 1-6 Unit Sales Forecast'!S6</f>
        <v>12</v>
      </c>
      <c r="Q6" s="40" t="s">
        <v>248</v>
      </c>
    </row>
    <row r="7" spans="1:17" ht="12.75" customHeight="1" thickTop="1">
      <c r="A7" s="1"/>
      <c r="B7" s="1"/>
      <c r="C7" s="1"/>
      <c r="D7" s="37"/>
      <c r="E7" s="37"/>
      <c r="F7" s="37"/>
      <c r="G7" s="37"/>
      <c r="H7" s="37"/>
      <c r="I7" s="37"/>
      <c r="J7" s="37"/>
      <c r="K7" s="37"/>
      <c r="L7" s="37"/>
      <c r="M7" s="37"/>
      <c r="N7" s="37"/>
      <c r="O7" s="37"/>
      <c r="P7" s="37"/>
      <c r="Q7" s="37"/>
    </row>
    <row r="8" spans="1:17" ht="12.75" hidden="1" customHeight="1" outlineLevel="1">
      <c r="A8" s="1" t="s">
        <v>168</v>
      </c>
      <c r="B8" s="1"/>
      <c r="C8" s="1"/>
      <c r="D8" s="37"/>
      <c r="E8" s="37"/>
      <c r="F8" s="37"/>
      <c r="G8" s="37"/>
      <c r="H8" s="37"/>
      <c r="I8" s="37"/>
      <c r="J8" s="37"/>
      <c r="K8" s="37"/>
      <c r="L8" s="37"/>
      <c r="M8" s="37"/>
      <c r="N8" s="37"/>
      <c r="O8" s="37"/>
      <c r="P8" s="37"/>
      <c r="Q8" s="37"/>
    </row>
    <row r="9" spans="1:17" ht="12.75" hidden="1" customHeight="1" outlineLevel="1">
      <c r="A9" s="1"/>
      <c r="B9" s="1" t="str">
        <f>+'8. Income Statement'!B9</f>
        <v>Product/Service 1</v>
      </c>
      <c r="C9" s="1"/>
      <c r="D9" s="37"/>
      <c r="E9" s="45">
        <f>'4a.Prod 1-6 Unit Sales Forecast'!$E$9*'4a.Prod 1-6 Unit Sales Forecast'!H15</f>
        <v>0</v>
      </c>
      <c r="F9" s="45">
        <f>'4a.Prod 1-6 Unit Sales Forecast'!$E$9*'4a.Prod 1-6 Unit Sales Forecast'!I15</f>
        <v>0</v>
      </c>
      <c r="G9" s="45">
        <f>'4a.Prod 1-6 Unit Sales Forecast'!$E$9*'4a.Prod 1-6 Unit Sales Forecast'!J15</f>
        <v>0</v>
      </c>
      <c r="H9" s="45">
        <f>'4a.Prod 1-6 Unit Sales Forecast'!$E$9*'4a.Prod 1-6 Unit Sales Forecast'!K15</f>
        <v>0</v>
      </c>
      <c r="I9" s="45">
        <f>'4a.Prod 1-6 Unit Sales Forecast'!$E$9*'4a.Prod 1-6 Unit Sales Forecast'!L15</f>
        <v>0</v>
      </c>
      <c r="J9" s="45">
        <f>'4a.Prod 1-6 Unit Sales Forecast'!$E$9*'4a.Prod 1-6 Unit Sales Forecast'!M15</f>
        <v>0</v>
      </c>
      <c r="K9" s="45">
        <f>'4a.Prod 1-6 Unit Sales Forecast'!$E$9*'4a.Prod 1-6 Unit Sales Forecast'!N15</f>
        <v>0</v>
      </c>
      <c r="L9" s="45">
        <f>'4a.Prod 1-6 Unit Sales Forecast'!$E$9*'4a.Prod 1-6 Unit Sales Forecast'!O15</f>
        <v>0</v>
      </c>
      <c r="M9" s="45">
        <f>'4a.Prod 1-6 Unit Sales Forecast'!$E$9*'4a.Prod 1-6 Unit Sales Forecast'!P15</f>
        <v>0</v>
      </c>
      <c r="N9" s="45">
        <f>'4a.Prod 1-6 Unit Sales Forecast'!$E$9*'4a.Prod 1-6 Unit Sales Forecast'!Q15</f>
        <v>0</v>
      </c>
      <c r="O9" s="45">
        <f>'4a.Prod 1-6 Unit Sales Forecast'!$E$9*'4a.Prod 1-6 Unit Sales Forecast'!R15</f>
        <v>0</v>
      </c>
      <c r="P9" s="45">
        <f>'4a.Prod 1-6 Unit Sales Forecast'!$E$9*'4a.Prod 1-6 Unit Sales Forecast'!S15</f>
        <v>0</v>
      </c>
      <c r="Q9" s="53">
        <f t="shared" ref="Q9:Q15" si="0">SUM(E9:P9)</f>
        <v>0</v>
      </c>
    </row>
    <row r="10" spans="1:17" ht="12.75" hidden="1" customHeight="1" outlineLevel="1">
      <c r="A10" s="1"/>
      <c r="B10" s="1" t="str">
        <f>+'8. Income Statement'!B10</f>
        <v>Product/Service 2</v>
      </c>
      <c r="C10" s="1"/>
      <c r="D10" s="37"/>
      <c r="E10" s="45">
        <f>'4a.Prod 1-6 Unit Sales Forecast'!$E$31*'4a.Prod 1-6 Unit Sales Forecast'!H37</f>
        <v>0</v>
      </c>
      <c r="F10" s="45">
        <f>'4a.Prod 1-6 Unit Sales Forecast'!$E$31*'4a.Prod 1-6 Unit Sales Forecast'!I37</f>
        <v>0</v>
      </c>
      <c r="G10" s="45">
        <f>'4a.Prod 1-6 Unit Sales Forecast'!$E$31*'4a.Prod 1-6 Unit Sales Forecast'!J37</f>
        <v>0</v>
      </c>
      <c r="H10" s="45">
        <f>'4a.Prod 1-6 Unit Sales Forecast'!$E$31*'4a.Prod 1-6 Unit Sales Forecast'!K37</f>
        <v>0</v>
      </c>
      <c r="I10" s="45">
        <f>'4a.Prod 1-6 Unit Sales Forecast'!$E$31*'4a.Prod 1-6 Unit Sales Forecast'!L37</f>
        <v>0</v>
      </c>
      <c r="J10" s="45">
        <f>'4a.Prod 1-6 Unit Sales Forecast'!$E$31*'4a.Prod 1-6 Unit Sales Forecast'!M37</f>
        <v>0</v>
      </c>
      <c r="K10" s="45">
        <f>'4a.Prod 1-6 Unit Sales Forecast'!$E$31*'4a.Prod 1-6 Unit Sales Forecast'!N37</f>
        <v>0</v>
      </c>
      <c r="L10" s="45">
        <f>'4a.Prod 1-6 Unit Sales Forecast'!$E$31*'4a.Prod 1-6 Unit Sales Forecast'!O37</f>
        <v>0</v>
      </c>
      <c r="M10" s="45">
        <f>'4a.Prod 1-6 Unit Sales Forecast'!$E$31*'4a.Prod 1-6 Unit Sales Forecast'!P37</f>
        <v>0</v>
      </c>
      <c r="N10" s="45">
        <f>'4a.Prod 1-6 Unit Sales Forecast'!$E$31*'4a.Prod 1-6 Unit Sales Forecast'!Q37</f>
        <v>0</v>
      </c>
      <c r="O10" s="45">
        <f>'4a.Prod 1-6 Unit Sales Forecast'!$E$31*'4a.Prod 1-6 Unit Sales Forecast'!R37</f>
        <v>0</v>
      </c>
      <c r="P10" s="45">
        <f>'4a.Prod 1-6 Unit Sales Forecast'!$E$31*'4a.Prod 1-6 Unit Sales Forecast'!S37</f>
        <v>0</v>
      </c>
      <c r="Q10" s="53">
        <f t="shared" si="0"/>
        <v>0</v>
      </c>
    </row>
    <row r="11" spans="1:17" ht="12.75" hidden="1" customHeight="1" outlineLevel="1">
      <c r="A11" s="1"/>
      <c r="B11" s="1" t="str">
        <f>+'8. Income Statement'!B11</f>
        <v>Product/Service 3</v>
      </c>
      <c r="C11" s="1"/>
      <c r="D11" s="37"/>
      <c r="E11" s="45">
        <f>'4a.Prod 1-6 Unit Sales Forecast'!$E$53*'4a.Prod 1-6 Unit Sales Forecast'!H59</f>
        <v>0</v>
      </c>
      <c r="F11" s="45">
        <f>'4a.Prod 1-6 Unit Sales Forecast'!$E$53*'4a.Prod 1-6 Unit Sales Forecast'!I59</f>
        <v>0</v>
      </c>
      <c r="G11" s="45">
        <f>'4a.Prod 1-6 Unit Sales Forecast'!$E$53*'4a.Prod 1-6 Unit Sales Forecast'!J59</f>
        <v>0</v>
      </c>
      <c r="H11" s="45">
        <f>'4a.Prod 1-6 Unit Sales Forecast'!$E$53*'4a.Prod 1-6 Unit Sales Forecast'!K59</f>
        <v>0</v>
      </c>
      <c r="I11" s="45">
        <f>'4a.Prod 1-6 Unit Sales Forecast'!$E$53*'4a.Prod 1-6 Unit Sales Forecast'!L59</f>
        <v>0</v>
      </c>
      <c r="J11" s="45">
        <f>'4a.Prod 1-6 Unit Sales Forecast'!$E$53*'4a.Prod 1-6 Unit Sales Forecast'!M59</f>
        <v>0</v>
      </c>
      <c r="K11" s="45">
        <f>'4a.Prod 1-6 Unit Sales Forecast'!$E$53*'4a.Prod 1-6 Unit Sales Forecast'!N59</f>
        <v>0</v>
      </c>
      <c r="L11" s="45">
        <f>'4a.Prod 1-6 Unit Sales Forecast'!$E$53*'4a.Prod 1-6 Unit Sales Forecast'!O59</f>
        <v>0</v>
      </c>
      <c r="M11" s="45">
        <f>'4a.Prod 1-6 Unit Sales Forecast'!$E$53*'4a.Prod 1-6 Unit Sales Forecast'!P59</f>
        <v>0</v>
      </c>
      <c r="N11" s="45">
        <f>'4a.Prod 1-6 Unit Sales Forecast'!$E$53*'4a.Prod 1-6 Unit Sales Forecast'!Q59</f>
        <v>0</v>
      </c>
      <c r="O11" s="45">
        <f>'4a.Prod 1-6 Unit Sales Forecast'!$E$53*'4a.Prod 1-6 Unit Sales Forecast'!R59</f>
        <v>0</v>
      </c>
      <c r="P11" s="45">
        <f>'4a.Prod 1-6 Unit Sales Forecast'!$E$53*'4a.Prod 1-6 Unit Sales Forecast'!S59</f>
        <v>0</v>
      </c>
      <c r="Q11" s="53">
        <f t="shared" si="0"/>
        <v>0</v>
      </c>
    </row>
    <row r="12" spans="1:17" ht="12.75" hidden="1" customHeight="1" outlineLevel="1">
      <c r="A12" s="1"/>
      <c r="B12" s="1" t="str">
        <f>+'8. Income Statement'!B12</f>
        <v>Product/Service 4</v>
      </c>
      <c r="C12" s="1"/>
      <c r="D12" s="37"/>
      <c r="E12" s="45">
        <f>'4a.Prod 1-6 Unit Sales Forecast'!$E$75*'4a.Prod 1-6 Unit Sales Forecast'!H81</f>
        <v>0</v>
      </c>
      <c r="F12" s="45">
        <f>'4a.Prod 1-6 Unit Sales Forecast'!$E$75*'4a.Prod 1-6 Unit Sales Forecast'!I81</f>
        <v>0</v>
      </c>
      <c r="G12" s="45">
        <f>'4a.Prod 1-6 Unit Sales Forecast'!$E$75*'4a.Prod 1-6 Unit Sales Forecast'!J81</f>
        <v>0</v>
      </c>
      <c r="H12" s="45">
        <f>'4a.Prod 1-6 Unit Sales Forecast'!$E$75*'4a.Prod 1-6 Unit Sales Forecast'!K81</f>
        <v>0</v>
      </c>
      <c r="I12" s="45">
        <f>'4a.Prod 1-6 Unit Sales Forecast'!$E$75*'4a.Prod 1-6 Unit Sales Forecast'!L81</f>
        <v>0</v>
      </c>
      <c r="J12" s="45">
        <f>'4a.Prod 1-6 Unit Sales Forecast'!$E$75*'4a.Prod 1-6 Unit Sales Forecast'!M81</f>
        <v>0</v>
      </c>
      <c r="K12" s="45">
        <f>'4a.Prod 1-6 Unit Sales Forecast'!$E$75*'4a.Prod 1-6 Unit Sales Forecast'!N81</f>
        <v>0</v>
      </c>
      <c r="L12" s="45">
        <f>'4a.Prod 1-6 Unit Sales Forecast'!$E$75*'4a.Prod 1-6 Unit Sales Forecast'!O81</f>
        <v>0</v>
      </c>
      <c r="M12" s="45">
        <f>'4a.Prod 1-6 Unit Sales Forecast'!$E$75*'4a.Prod 1-6 Unit Sales Forecast'!P81</f>
        <v>0</v>
      </c>
      <c r="N12" s="45">
        <f>'4a.Prod 1-6 Unit Sales Forecast'!$E$75*'4a.Prod 1-6 Unit Sales Forecast'!Q81</f>
        <v>0</v>
      </c>
      <c r="O12" s="45">
        <f>'4a.Prod 1-6 Unit Sales Forecast'!$E$75*'4a.Prod 1-6 Unit Sales Forecast'!R81</f>
        <v>0</v>
      </c>
      <c r="P12" s="45">
        <f>'4a.Prod 1-6 Unit Sales Forecast'!$E$75*'4a.Prod 1-6 Unit Sales Forecast'!S81</f>
        <v>0</v>
      </c>
      <c r="Q12" s="53">
        <f t="shared" si="0"/>
        <v>0</v>
      </c>
    </row>
    <row r="13" spans="1:17" ht="12.75" hidden="1" customHeight="1" outlineLevel="1">
      <c r="A13" s="1"/>
      <c r="B13" s="1" t="str">
        <f>+'8. Income Statement'!B13</f>
        <v>Product/Service 5</v>
      </c>
      <c r="C13" s="1"/>
      <c r="D13" s="37"/>
      <c r="E13" s="45">
        <f>'4a.Prod 1-6 Unit Sales Forecast'!$E$97*'4a.Prod 1-6 Unit Sales Forecast'!H103</f>
        <v>0</v>
      </c>
      <c r="F13" s="45">
        <f>'4a.Prod 1-6 Unit Sales Forecast'!$E$97*'4a.Prod 1-6 Unit Sales Forecast'!I103</f>
        <v>0</v>
      </c>
      <c r="G13" s="45">
        <f>'4a.Prod 1-6 Unit Sales Forecast'!$E$97*'4a.Prod 1-6 Unit Sales Forecast'!J103</f>
        <v>0</v>
      </c>
      <c r="H13" s="45">
        <f>'4a.Prod 1-6 Unit Sales Forecast'!$E$97*'4a.Prod 1-6 Unit Sales Forecast'!K103</f>
        <v>0</v>
      </c>
      <c r="I13" s="45">
        <f>'4a.Prod 1-6 Unit Sales Forecast'!$E$97*'4a.Prod 1-6 Unit Sales Forecast'!L103</f>
        <v>0</v>
      </c>
      <c r="J13" s="45">
        <f>'4a.Prod 1-6 Unit Sales Forecast'!$E$97*'4a.Prod 1-6 Unit Sales Forecast'!M103</f>
        <v>0</v>
      </c>
      <c r="K13" s="45">
        <f>'4a.Prod 1-6 Unit Sales Forecast'!$E$97*'4a.Prod 1-6 Unit Sales Forecast'!N103</f>
        <v>0</v>
      </c>
      <c r="L13" s="45">
        <f>'4a.Prod 1-6 Unit Sales Forecast'!$E$97*'4a.Prod 1-6 Unit Sales Forecast'!O103</f>
        <v>0</v>
      </c>
      <c r="M13" s="45">
        <f>'4a.Prod 1-6 Unit Sales Forecast'!$E$97*'4a.Prod 1-6 Unit Sales Forecast'!P103</f>
        <v>0</v>
      </c>
      <c r="N13" s="45">
        <f>'4a.Prod 1-6 Unit Sales Forecast'!$E$97*'4a.Prod 1-6 Unit Sales Forecast'!Q103</f>
        <v>0</v>
      </c>
      <c r="O13" s="45">
        <f>'4a.Prod 1-6 Unit Sales Forecast'!$E$97*'4a.Prod 1-6 Unit Sales Forecast'!R103</f>
        <v>0</v>
      </c>
      <c r="P13" s="45">
        <f>'4a.Prod 1-6 Unit Sales Forecast'!$E$97*'4a.Prod 1-6 Unit Sales Forecast'!S103</f>
        <v>0</v>
      </c>
      <c r="Q13" s="53">
        <f t="shared" si="0"/>
        <v>0</v>
      </c>
    </row>
    <row r="14" spans="1:17" ht="12.75" hidden="1" customHeight="1" outlineLevel="1">
      <c r="A14" s="1"/>
      <c r="B14" s="1" t="str">
        <f>+'8. Income Statement'!B14</f>
        <v>Product/Service 6</v>
      </c>
      <c r="C14" s="1"/>
      <c r="D14" s="37"/>
      <c r="E14" s="45" t="str">
        <f>IF('4a.Prod 1-6 Unit Sales Forecast'!$E$119&gt;0,'4a.Prod 1-6 Unit Sales Forecast'!$E$119*'4a.Prod 1-6 Unit Sales Forecast'!H125,"")</f>
        <v/>
      </c>
      <c r="F14" s="45" t="str">
        <f>IF('4a.Prod 1-6 Unit Sales Forecast'!$E$119&gt;0,'4a.Prod 1-6 Unit Sales Forecast'!$E$119*'4a.Prod 1-6 Unit Sales Forecast'!I125,"")</f>
        <v/>
      </c>
      <c r="G14" s="45" t="str">
        <f>IF('4a.Prod 1-6 Unit Sales Forecast'!$E$119&gt;0,'4a.Prod 1-6 Unit Sales Forecast'!$E$119*'4a.Prod 1-6 Unit Sales Forecast'!J125,"")</f>
        <v/>
      </c>
      <c r="H14" s="45" t="str">
        <f>IF('4a.Prod 1-6 Unit Sales Forecast'!$E$119&gt;0,'4a.Prod 1-6 Unit Sales Forecast'!$E$119*'4a.Prod 1-6 Unit Sales Forecast'!K125,"")</f>
        <v/>
      </c>
      <c r="I14" s="45" t="str">
        <f>IF('4a.Prod 1-6 Unit Sales Forecast'!$E$119&gt;0,'4a.Prod 1-6 Unit Sales Forecast'!$E$119*'4a.Prod 1-6 Unit Sales Forecast'!L125,"")</f>
        <v/>
      </c>
      <c r="J14" s="45" t="str">
        <f>IF('4a.Prod 1-6 Unit Sales Forecast'!$E$119&gt;0,'4a.Prod 1-6 Unit Sales Forecast'!$E$119*'4a.Prod 1-6 Unit Sales Forecast'!M125,"")</f>
        <v/>
      </c>
      <c r="K14" s="45" t="str">
        <f>IF('4a.Prod 1-6 Unit Sales Forecast'!$E$119&gt;0,'4a.Prod 1-6 Unit Sales Forecast'!$E$119*'4a.Prod 1-6 Unit Sales Forecast'!N125,"")</f>
        <v/>
      </c>
      <c r="L14" s="45" t="str">
        <f>IF('4a.Prod 1-6 Unit Sales Forecast'!$E$119&gt;0,'4a.Prod 1-6 Unit Sales Forecast'!$E$119*'4a.Prod 1-6 Unit Sales Forecast'!O125,"")</f>
        <v/>
      </c>
      <c r="M14" s="45" t="str">
        <f>IF('4a.Prod 1-6 Unit Sales Forecast'!$E$119&gt;0,'4a.Prod 1-6 Unit Sales Forecast'!$E$119*'4a.Prod 1-6 Unit Sales Forecast'!P125,"")</f>
        <v/>
      </c>
      <c r="N14" s="45" t="str">
        <f>IF('4a.Prod 1-6 Unit Sales Forecast'!$E$119&gt;0,'4a.Prod 1-6 Unit Sales Forecast'!$E$119*'4a.Prod 1-6 Unit Sales Forecast'!Q125,"")</f>
        <v/>
      </c>
      <c r="O14" s="45" t="str">
        <f>IF('4a.Prod 1-6 Unit Sales Forecast'!$E$119&gt;0,'4a.Prod 1-6 Unit Sales Forecast'!$E$119*'4a.Prod 1-6 Unit Sales Forecast'!R125,"")</f>
        <v/>
      </c>
      <c r="P14" s="45" t="str">
        <f>IF('4a.Prod 1-6 Unit Sales Forecast'!$E$119&gt;0,'4a.Prod 1-6 Unit Sales Forecast'!$E$119*'4a.Prod 1-6 Unit Sales Forecast'!S125,"")</f>
        <v/>
      </c>
      <c r="Q14" s="53">
        <f t="shared" si="0"/>
        <v>0</v>
      </c>
    </row>
    <row r="15" spans="1:17" ht="12.75" hidden="1" customHeight="1" outlineLevel="1" thickBot="1">
      <c r="A15" s="1"/>
      <c r="B15" s="1" t="str">
        <f>+'8. Income Statement'!B15</f>
        <v>Total of Multi-Product</v>
      </c>
      <c r="C15" s="1"/>
      <c r="D15" s="37"/>
      <c r="E15" s="49">
        <f>+'5.Prod 7-20 Unit Sales Forecast'!H316</f>
        <v>0</v>
      </c>
      <c r="F15" s="49">
        <f>+'5.Prod 7-20 Unit Sales Forecast'!I316</f>
        <v>0</v>
      </c>
      <c r="G15" s="49">
        <f>+'5.Prod 7-20 Unit Sales Forecast'!J316</f>
        <v>0</v>
      </c>
      <c r="H15" s="49">
        <f>+'5.Prod 7-20 Unit Sales Forecast'!K316</f>
        <v>0</v>
      </c>
      <c r="I15" s="49">
        <f>+'5.Prod 7-20 Unit Sales Forecast'!L316</f>
        <v>0</v>
      </c>
      <c r="J15" s="49">
        <f>+'5.Prod 7-20 Unit Sales Forecast'!M316</f>
        <v>0</v>
      </c>
      <c r="K15" s="49">
        <f>+'5.Prod 7-20 Unit Sales Forecast'!N316</f>
        <v>0</v>
      </c>
      <c r="L15" s="49">
        <f>+'5.Prod 7-20 Unit Sales Forecast'!O316</f>
        <v>0</v>
      </c>
      <c r="M15" s="49">
        <f>+'5.Prod 7-20 Unit Sales Forecast'!P316</f>
        <v>0</v>
      </c>
      <c r="N15" s="49">
        <f>+'5.Prod 7-20 Unit Sales Forecast'!Q316</f>
        <v>0</v>
      </c>
      <c r="O15" s="49">
        <f>+'5.Prod 7-20 Unit Sales Forecast'!R316</f>
        <v>0</v>
      </c>
      <c r="P15" s="49">
        <f>+'5.Prod 7-20 Unit Sales Forecast'!S316</f>
        <v>0</v>
      </c>
      <c r="Q15" s="89">
        <f t="shared" si="0"/>
        <v>0</v>
      </c>
    </row>
    <row r="16" spans="1:17" ht="12.75" customHeight="1" collapsed="1">
      <c r="A16" s="1" t="s">
        <v>169</v>
      </c>
      <c r="B16" s="1"/>
      <c r="C16" s="1"/>
      <c r="D16" s="37"/>
      <c r="E16" s="53">
        <f t="shared" ref="E16:Q16" si="1">SUM(E9:E15)</f>
        <v>0</v>
      </c>
      <c r="F16" s="53">
        <f t="shared" si="1"/>
        <v>0</v>
      </c>
      <c r="G16" s="53">
        <f t="shared" si="1"/>
        <v>0</v>
      </c>
      <c r="H16" s="53">
        <f t="shared" si="1"/>
        <v>0</v>
      </c>
      <c r="I16" s="53">
        <f t="shared" si="1"/>
        <v>0</v>
      </c>
      <c r="J16" s="53">
        <f t="shared" si="1"/>
        <v>0</v>
      </c>
      <c r="K16" s="53">
        <f t="shared" si="1"/>
        <v>0</v>
      </c>
      <c r="L16" s="53">
        <f t="shared" si="1"/>
        <v>0</v>
      </c>
      <c r="M16" s="53">
        <f t="shared" si="1"/>
        <v>0</v>
      </c>
      <c r="N16" s="53">
        <f t="shared" si="1"/>
        <v>0</v>
      </c>
      <c r="O16" s="53">
        <f t="shared" si="1"/>
        <v>0</v>
      </c>
      <c r="P16" s="53">
        <f t="shared" si="1"/>
        <v>0</v>
      </c>
      <c r="Q16" s="53">
        <f t="shared" si="1"/>
        <v>0</v>
      </c>
    </row>
    <row r="17" spans="1:17" ht="12.75" customHeight="1">
      <c r="A17" s="1"/>
      <c r="B17" s="1"/>
      <c r="C17" s="1"/>
      <c r="D17" s="37"/>
      <c r="E17" s="37"/>
      <c r="F17" s="37"/>
      <c r="G17" s="37"/>
      <c r="H17" s="37"/>
      <c r="I17" s="37"/>
      <c r="J17" s="37"/>
      <c r="K17" s="37"/>
      <c r="L17" s="37"/>
      <c r="M17" s="37"/>
      <c r="N17" s="37"/>
      <c r="O17" s="37"/>
      <c r="P17" s="37"/>
      <c r="Q17" s="37"/>
    </row>
    <row r="18" spans="1:17" ht="12.75" hidden="1" customHeight="1" outlineLevel="1">
      <c r="A18" s="1" t="s">
        <v>170</v>
      </c>
      <c r="B18" s="1"/>
      <c r="C18" s="1"/>
      <c r="D18" s="37"/>
      <c r="E18" s="45"/>
      <c r="F18" s="45"/>
      <c r="G18" s="45"/>
      <c r="H18" s="45"/>
      <c r="I18" s="45"/>
      <c r="J18" s="45"/>
      <c r="K18" s="45"/>
      <c r="L18" s="45"/>
      <c r="M18" s="45"/>
      <c r="N18" s="45"/>
      <c r="O18" s="45"/>
      <c r="P18" s="45"/>
      <c r="Q18" s="45"/>
    </row>
    <row r="19" spans="1:17" ht="12.75" hidden="1" customHeight="1" outlineLevel="1">
      <c r="A19" s="1"/>
      <c r="B19" s="1" t="str">
        <f t="shared" ref="B19:B25" si="2">B9</f>
        <v>Product/Service 1</v>
      </c>
      <c r="C19" s="1"/>
      <c r="D19" s="37"/>
      <c r="E19" s="45">
        <f>'4a.Prod 1-6 Unit Sales Forecast'!$E$10*'4a.Prod 1-6 Unit Sales Forecast'!H15</f>
        <v>0</v>
      </c>
      <c r="F19" s="45">
        <f>'4a.Prod 1-6 Unit Sales Forecast'!$E$10*'4a.Prod 1-6 Unit Sales Forecast'!I15</f>
        <v>0</v>
      </c>
      <c r="G19" s="45">
        <f>'4a.Prod 1-6 Unit Sales Forecast'!$E$10*'4a.Prod 1-6 Unit Sales Forecast'!J15</f>
        <v>0</v>
      </c>
      <c r="H19" s="45">
        <f>'4a.Prod 1-6 Unit Sales Forecast'!$E$10*'4a.Prod 1-6 Unit Sales Forecast'!K15</f>
        <v>0</v>
      </c>
      <c r="I19" s="45">
        <f>'4a.Prod 1-6 Unit Sales Forecast'!$E$10*'4a.Prod 1-6 Unit Sales Forecast'!L15</f>
        <v>0</v>
      </c>
      <c r="J19" s="45">
        <f>'4a.Prod 1-6 Unit Sales Forecast'!$E$10*'4a.Prod 1-6 Unit Sales Forecast'!M15</f>
        <v>0</v>
      </c>
      <c r="K19" s="45">
        <f>'4a.Prod 1-6 Unit Sales Forecast'!$E$10*'4a.Prod 1-6 Unit Sales Forecast'!N15</f>
        <v>0</v>
      </c>
      <c r="L19" s="45">
        <f>'4a.Prod 1-6 Unit Sales Forecast'!$E$10*'4a.Prod 1-6 Unit Sales Forecast'!O15</f>
        <v>0</v>
      </c>
      <c r="M19" s="45">
        <f>'4a.Prod 1-6 Unit Sales Forecast'!$E$10*'4a.Prod 1-6 Unit Sales Forecast'!P15</f>
        <v>0</v>
      </c>
      <c r="N19" s="45">
        <f>'4a.Prod 1-6 Unit Sales Forecast'!$E$10*'4a.Prod 1-6 Unit Sales Forecast'!Q15</f>
        <v>0</v>
      </c>
      <c r="O19" s="45">
        <f>'4a.Prod 1-6 Unit Sales Forecast'!$E$10*'4a.Prod 1-6 Unit Sales Forecast'!R15</f>
        <v>0</v>
      </c>
      <c r="P19" s="45">
        <f>'4a.Prod 1-6 Unit Sales Forecast'!$E$10*'4a.Prod 1-6 Unit Sales Forecast'!S15</f>
        <v>0</v>
      </c>
      <c r="Q19" s="45">
        <f t="shared" ref="Q19:Q25" si="3">SUM(E19:P19)</f>
        <v>0</v>
      </c>
    </row>
    <row r="20" spans="1:17" ht="12.75" hidden="1" customHeight="1" outlineLevel="1">
      <c r="A20" s="1"/>
      <c r="B20" s="1" t="str">
        <f t="shared" si="2"/>
        <v>Product/Service 2</v>
      </c>
      <c r="C20" s="1"/>
      <c r="D20" s="37"/>
      <c r="E20" s="53">
        <f>'4a.Prod 1-6 Unit Sales Forecast'!$E$32*'4a.Prod 1-6 Unit Sales Forecast'!H37</f>
        <v>0</v>
      </c>
      <c r="F20" s="53">
        <f>'4a.Prod 1-6 Unit Sales Forecast'!$E$32*'4a.Prod 1-6 Unit Sales Forecast'!I37</f>
        <v>0</v>
      </c>
      <c r="G20" s="53">
        <f>'4a.Prod 1-6 Unit Sales Forecast'!$E$32*'4a.Prod 1-6 Unit Sales Forecast'!J37</f>
        <v>0</v>
      </c>
      <c r="H20" s="53">
        <f>'4a.Prod 1-6 Unit Sales Forecast'!$E$32*'4a.Prod 1-6 Unit Sales Forecast'!K37</f>
        <v>0</v>
      </c>
      <c r="I20" s="53">
        <f>'4a.Prod 1-6 Unit Sales Forecast'!$E$32*'4a.Prod 1-6 Unit Sales Forecast'!L37</f>
        <v>0</v>
      </c>
      <c r="J20" s="53">
        <f>'4a.Prod 1-6 Unit Sales Forecast'!$E$32*'4a.Prod 1-6 Unit Sales Forecast'!M37</f>
        <v>0</v>
      </c>
      <c r="K20" s="53">
        <f>'4a.Prod 1-6 Unit Sales Forecast'!$E$32*'4a.Prod 1-6 Unit Sales Forecast'!N37</f>
        <v>0</v>
      </c>
      <c r="L20" s="53">
        <f>'4a.Prod 1-6 Unit Sales Forecast'!$E$32*'4a.Prod 1-6 Unit Sales Forecast'!O37</f>
        <v>0</v>
      </c>
      <c r="M20" s="53">
        <f>'4a.Prod 1-6 Unit Sales Forecast'!$E$32*'4a.Prod 1-6 Unit Sales Forecast'!P37</f>
        <v>0</v>
      </c>
      <c r="N20" s="53">
        <f>'4a.Prod 1-6 Unit Sales Forecast'!$E$32*'4a.Prod 1-6 Unit Sales Forecast'!Q37</f>
        <v>0</v>
      </c>
      <c r="O20" s="53">
        <f>'4a.Prod 1-6 Unit Sales Forecast'!$E$32*'4a.Prod 1-6 Unit Sales Forecast'!R37</f>
        <v>0</v>
      </c>
      <c r="P20" s="53">
        <f>'4a.Prod 1-6 Unit Sales Forecast'!$E$32*'4a.Prod 1-6 Unit Sales Forecast'!S37</f>
        <v>0</v>
      </c>
      <c r="Q20" s="45">
        <f t="shared" si="3"/>
        <v>0</v>
      </c>
    </row>
    <row r="21" spans="1:17" ht="12.75" hidden="1" customHeight="1" outlineLevel="1">
      <c r="A21" s="1"/>
      <c r="B21" s="1" t="str">
        <f t="shared" si="2"/>
        <v>Product/Service 3</v>
      </c>
      <c r="C21" s="1"/>
      <c r="D21" s="37"/>
      <c r="E21" s="53">
        <f>'4a.Prod 1-6 Unit Sales Forecast'!$E$54*'4a.Prod 1-6 Unit Sales Forecast'!H59</f>
        <v>0</v>
      </c>
      <c r="F21" s="53">
        <f>'4a.Prod 1-6 Unit Sales Forecast'!$E$54*'4a.Prod 1-6 Unit Sales Forecast'!I59</f>
        <v>0</v>
      </c>
      <c r="G21" s="53">
        <f>'4a.Prod 1-6 Unit Sales Forecast'!$E$54*'4a.Prod 1-6 Unit Sales Forecast'!J59</f>
        <v>0</v>
      </c>
      <c r="H21" s="53">
        <f>'4a.Prod 1-6 Unit Sales Forecast'!$E$54*'4a.Prod 1-6 Unit Sales Forecast'!K59</f>
        <v>0</v>
      </c>
      <c r="I21" s="53">
        <f>'4a.Prod 1-6 Unit Sales Forecast'!$E$54*'4a.Prod 1-6 Unit Sales Forecast'!L59</f>
        <v>0</v>
      </c>
      <c r="J21" s="53">
        <f>'4a.Prod 1-6 Unit Sales Forecast'!$E$54*'4a.Prod 1-6 Unit Sales Forecast'!M59</f>
        <v>0</v>
      </c>
      <c r="K21" s="53">
        <f>'4a.Prod 1-6 Unit Sales Forecast'!$E$54*'4a.Prod 1-6 Unit Sales Forecast'!N59</f>
        <v>0</v>
      </c>
      <c r="L21" s="53">
        <f>'4a.Prod 1-6 Unit Sales Forecast'!$E$54*'4a.Prod 1-6 Unit Sales Forecast'!O59</f>
        <v>0</v>
      </c>
      <c r="M21" s="53">
        <f>'4a.Prod 1-6 Unit Sales Forecast'!$E$54*'4a.Prod 1-6 Unit Sales Forecast'!P59</f>
        <v>0</v>
      </c>
      <c r="N21" s="53">
        <f>'4a.Prod 1-6 Unit Sales Forecast'!$E$54*'4a.Prod 1-6 Unit Sales Forecast'!Q59</f>
        <v>0</v>
      </c>
      <c r="O21" s="53">
        <f>'4a.Prod 1-6 Unit Sales Forecast'!$E$54*'4a.Prod 1-6 Unit Sales Forecast'!R59</f>
        <v>0</v>
      </c>
      <c r="P21" s="53">
        <f>'4a.Prod 1-6 Unit Sales Forecast'!$E$54*'4a.Prod 1-6 Unit Sales Forecast'!S59</f>
        <v>0</v>
      </c>
      <c r="Q21" s="45">
        <f t="shared" si="3"/>
        <v>0</v>
      </c>
    </row>
    <row r="22" spans="1:17" ht="12.75" hidden="1" customHeight="1" outlineLevel="1">
      <c r="A22" s="1"/>
      <c r="B22" s="1" t="str">
        <f t="shared" si="2"/>
        <v>Product/Service 4</v>
      </c>
      <c r="C22" s="1"/>
      <c r="D22" s="37"/>
      <c r="E22" s="53">
        <f>'4a.Prod 1-6 Unit Sales Forecast'!$E$76*'4a.Prod 1-6 Unit Sales Forecast'!H81</f>
        <v>0</v>
      </c>
      <c r="F22" s="53">
        <f>'4a.Prod 1-6 Unit Sales Forecast'!$E$76*'4a.Prod 1-6 Unit Sales Forecast'!I81</f>
        <v>0</v>
      </c>
      <c r="G22" s="53">
        <f>'4a.Prod 1-6 Unit Sales Forecast'!$E$76*'4a.Prod 1-6 Unit Sales Forecast'!J81</f>
        <v>0</v>
      </c>
      <c r="H22" s="53">
        <f>'4a.Prod 1-6 Unit Sales Forecast'!$E$76*'4a.Prod 1-6 Unit Sales Forecast'!K81</f>
        <v>0</v>
      </c>
      <c r="I22" s="53">
        <f>'4a.Prod 1-6 Unit Sales Forecast'!$E$76*'4a.Prod 1-6 Unit Sales Forecast'!L81</f>
        <v>0</v>
      </c>
      <c r="J22" s="53">
        <f>'4a.Prod 1-6 Unit Sales Forecast'!$E$76*'4a.Prod 1-6 Unit Sales Forecast'!M81</f>
        <v>0</v>
      </c>
      <c r="K22" s="53">
        <f>'4a.Prod 1-6 Unit Sales Forecast'!$E$76*'4a.Prod 1-6 Unit Sales Forecast'!N81</f>
        <v>0</v>
      </c>
      <c r="L22" s="53">
        <f>'4a.Prod 1-6 Unit Sales Forecast'!$E$76*'4a.Prod 1-6 Unit Sales Forecast'!O81</f>
        <v>0</v>
      </c>
      <c r="M22" s="53">
        <f>'4a.Prod 1-6 Unit Sales Forecast'!$E$76*'4a.Prod 1-6 Unit Sales Forecast'!P81</f>
        <v>0</v>
      </c>
      <c r="N22" s="53">
        <f>'4a.Prod 1-6 Unit Sales Forecast'!$E$76*'4a.Prod 1-6 Unit Sales Forecast'!Q81</f>
        <v>0</v>
      </c>
      <c r="O22" s="53">
        <f>'4a.Prod 1-6 Unit Sales Forecast'!$E$76*'4a.Prod 1-6 Unit Sales Forecast'!R81</f>
        <v>0</v>
      </c>
      <c r="P22" s="53">
        <f>'4a.Prod 1-6 Unit Sales Forecast'!$E$76*'4a.Prod 1-6 Unit Sales Forecast'!S81</f>
        <v>0</v>
      </c>
      <c r="Q22" s="45">
        <f t="shared" si="3"/>
        <v>0</v>
      </c>
    </row>
    <row r="23" spans="1:17" ht="12.75" hidden="1" customHeight="1" outlineLevel="1">
      <c r="A23" s="1"/>
      <c r="B23" s="1" t="str">
        <f t="shared" si="2"/>
        <v>Product/Service 5</v>
      </c>
      <c r="C23" s="1"/>
      <c r="D23" s="37"/>
      <c r="E23" s="53">
        <f>'4a.Prod 1-6 Unit Sales Forecast'!$E$98*'4a.Prod 1-6 Unit Sales Forecast'!H103</f>
        <v>0</v>
      </c>
      <c r="F23" s="53">
        <f>'4a.Prod 1-6 Unit Sales Forecast'!$E$98*'4a.Prod 1-6 Unit Sales Forecast'!I103</f>
        <v>0</v>
      </c>
      <c r="G23" s="53">
        <f>'4a.Prod 1-6 Unit Sales Forecast'!$E$98*'4a.Prod 1-6 Unit Sales Forecast'!J103</f>
        <v>0</v>
      </c>
      <c r="H23" s="53">
        <f>'4a.Prod 1-6 Unit Sales Forecast'!$E$98*'4a.Prod 1-6 Unit Sales Forecast'!K103</f>
        <v>0</v>
      </c>
      <c r="I23" s="53">
        <f>'4a.Prod 1-6 Unit Sales Forecast'!$E$98*'4a.Prod 1-6 Unit Sales Forecast'!L103</f>
        <v>0</v>
      </c>
      <c r="J23" s="53">
        <f>'4a.Prod 1-6 Unit Sales Forecast'!$E$98*'4a.Prod 1-6 Unit Sales Forecast'!M103</f>
        <v>0</v>
      </c>
      <c r="K23" s="53">
        <f>'4a.Prod 1-6 Unit Sales Forecast'!$E$98*'4a.Prod 1-6 Unit Sales Forecast'!N103</f>
        <v>0</v>
      </c>
      <c r="L23" s="53">
        <f>'4a.Prod 1-6 Unit Sales Forecast'!$E$98*'4a.Prod 1-6 Unit Sales Forecast'!O103</f>
        <v>0</v>
      </c>
      <c r="M23" s="53">
        <f>'4a.Prod 1-6 Unit Sales Forecast'!$E$98*'4a.Prod 1-6 Unit Sales Forecast'!P103</f>
        <v>0</v>
      </c>
      <c r="N23" s="53">
        <f>'4a.Prod 1-6 Unit Sales Forecast'!$E$98*'4a.Prod 1-6 Unit Sales Forecast'!Q103</f>
        <v>0</v>
      </c>
      <c r="O23" s="53">
        <f>'4a.Prod 1-6 Unit Sales Forecast'!$E$98*'4a.Prod 1-6 Unit Sales Forecast'!R103</f>
        <v>0</v>
      </c>
      <c r="P23" s="53">
        <f>'4a.Prod 1-6 Unit Sales Forecast'!$E$98*'4a.Prod 1-6 Unit Sales Forecast'!S103</f>
        <v>0</v>
      </c>
      <c r="Q23" s="45">
        <f t="shared" si="3"/>
        <v>0</v>
      </c>
    </row>
    <row r="24" spans="1:17" ht="12.75" hidden="1" customHeight="1" outlineLevel="1">
      <c r="A24" s="1"/>
      <c r="B24" s="1" t="str">
        <f t="shared" si="2"/>
        <v>Product/Service 6</v>
      </c>
      <c r="C24" s="1"/>
      <c r="D24" s="37"/>
      <c r="E24" s="53" t="str">
        <f>IF('4a.Prod 1-6 Unit Sales Forecast'!$E$120&gt;0,'4a.Prod 1-6 Unit Sales Forecast'!$E$120*'4a.Prod 1-6 Unit Sales Forecast'!H125,"")</f>
        <v/>
      </c>
      <c r="F24" s="53" t="str">
        <f>IF('4a.Prod 1-6 Unit Sales Forecast'!$E$120&gt;0,'4a.Prod 1-6 Unit Sales Forecast'!$E$120*'4a.Prod 1-6 Unit Sales Forecast'!I125,"")</f>
        <v/>
      </c>
      <c r="G24" s="53" t="str">
        <f>IF('4a.Prod 1-6 Unit Sales Forecast'!$E$120&gt;0,'4a.Prod 1-6 Unit Sales Forecast'!$E$120*'4a.Prod 1-6 Unit Sales Forecast'!J125,"")</f>
        <v/>
      </c>
      <c r="H24" s="53" t="str">
        <f>IF('4a.Prod 1-6 Unit Sales Forecast'!$E$120&gt;0,'4a.Prod 1-6 Unit Sales Forecast'!$E$120*'4a.Prod 1-6 Unit Sales Forecast'!K125,"")</f>
        <v/>
      </c>
      <c r="I24" s="53" t="str">
        <f>IF('4a.Prod 1-6 Unit Sales Forecast'!$E$120&gt;0,'4a.Prod 1-6 Unit Sales Forecast'!$E$120*'4a.Prod 1-6 Unit Sales Forecast'!L125,"")</f>
        <v/>
      </c>
      <c r="J24" s="53" t="str">
        <f>IF('4a.Prod 1-6 Unit Sales Forecast'!$E$120&gt;0,'4a.Prod 1-6 Unit Sales Forecast'!$E$120*'4a.Prod 1-6 Unit Sales Forecast'!M125,"")</f>
        <v/>
      </c>
      <c r="K24" s="53" t="str">
        <f>IF('4a.Prod 1-6 Unit Sales Forecast'!$E$120&gt;0,'4a.Prod 1-6 Unit Sales Forecast'!$E$120*'4a.Prod 1-6 Unit Sales Forecast'!N125,"")</f>
        <v/>
      </c>
      <c r="L24" s="53" t="str">
        <f>IF('4a.Prod 1-6 Unit Sales Forecast'!$E$120&gt;0,'4a.Prod 1-6 Unit Sales Forecast'!$E$120*'4a.Prod 1-6 Unit Sales Forecast'!O125,"")</f>
        <v/>
      </c>
      <c r="M24" s="53" t="str">
        <f>IF('4a.Prod 1-6 Unit Sales Forecast'!$E$120&gt;0,'4a.Prod 1-6 Unit Sales Forecast'!$E$120*'4a.Prod 1-6 Unit Sales Forecast'!P125,"")</f>
        <v/>
      </c>
      <c r="N24" s="53" t="str">
        <f>IF('4a.Prod 1-6 Unit Sales Forecast'!$E$120&gt;0,'4a.Prod 1-6 Unit Sales Forecast'!$E$120*'4a.Prod 1-6 Unit Sales Forecast'!Q125,"")</f>
        <v/>
      </c>
      <c r="O24" s="53" t="str">
        <f>IF('4a.Prod 1-6 Unit Sales Forecast'!$E$120&gt;0,'4a.Prod 1-6 Unit Sales Forecast'!$E$120*'4a.Prod 1-6 Unit Sales Forecast'!R125,"")</f>
        <v/>
      </c>
      <c r="P24" s="53" t="str">
        <f>IF('4a.Prod 1-6 Unit Sales Forecast'!$E$120&gt;0,'4a.Prod 1-6 Unit Sales Forecast'!$E$120*'4a.Prod 1-6 Unit Sales Forecast'!S125,"")</f>
        <v/>
      </c>
      <c r="Q24" s="45">
        <f t="shared" si="3"/>
        <v>0</v>
      </c>
    </row>
    <row r="25" spans="1:17" ht="12.75" hidden="1" customHeight="1" outlineLevel="1" thickBot="1">
      <c r="A25" s="1"/>
      <c r="B25" s="1" t="str">
        <f t="shared" si="2"/>
        <v>Total of Multi-Product</v>
      </c>
      <c r="C25" s="1"/>
      <c r="D25" s="37"/>
      <c r="E25" s="49">
        <f>+'5.Prod 7-20 Unit Sales Forecast'!H317</f>
        <v>0</v>
      </c>
      <c r="F25" s="49">
        <f>+'5.Prod 7-20 Unit Sales Forecast'!I317</f>
        <v>0</v>
      </c>
      <c r="G25" s="49">
        <f>+'5.Prod 7-20 Unit Sales Forecast'!J317</f>
        <v>0</v>
      </c>
      <c r="H25" s="49">
        <f>+'5.Prod 7-20 Unit Sales Forecast'!K317</f>
        <v>0</v>
      </c>
      <c r="I25" s="49">
        <f>+'5.Prod 7-20 Unit Sales Forecast'!L317</f>
        <v>0</v>
      </c>
      <c r="J25" s="49">
        <f>+'5.Prod 7-20 Unit Sales Forecast'!M317</f>
        <v>0</v>
      </c>
      <c r="K25" s="49">
        <f>+'5.Prod 7-20 Unit Sales Forecast'!N317</f>
        <v>0</v>
      </c>
      <c r="L25" s="49">
        <f>+'5.Prod 7-20 Unit Sales Forecast'!O317</f>
        <v>0</v>
      </c>
      <c r="M25" s="49">
        <f>+'5.Prod 7-20 Unit Sales Forecast'!P317</f>
        <v>0</v>
      </c>
      <c r="N25" s="49">
        <f>+'5.Prod 7-20 Unit Sales Forecast'!Q317</f>
        <v>0</v>
      </c>
      <c r="O25" s="49">
        <f>+'5.Prod 7-20 Unit Sales Forecast'!R317</f>
        <v>0</v>
      </c>
      <c r="P25" s="49">
        <f>+'5.Prod 7-20 Unit Sales Forecast'!S317</f>
        <v>0</v>
      </c>
      <c r="Q25" s="49">
        <f t="shared" si="3"/>
        <v>0</v>
      </c>
    </row>
    <row r="26" spans="1:17" ht="12.75" customHeight="1" collapsed="1">
      <c r="A26" s="1" t="s">
        <v>171</v>
      </c>
      <c r="B26" s="1"/>
      <c r="C26" s="1"/>
      <c r="D26" s="37"/>
      <c r="E26" s="45">
        <f t="shared" ref="E26:Q26" si="4">SUM(E19:E25)</f>
        <v>0</v>
      </c>
      <c r="F26" s="45">
        <f t="shared" si="4"/>
        <v>0</v>
      </c>
      <c r="G26" s="45">
        <f t="shared" si="4"/>
        <v>0</v>
      </c>
      <c r="H26" s="45">
        <f t="shared" si="4"/>
        <v>0</v>
      </c>
      <c r="I26" s="45">
        <f t="shared" si="4"/>
        <v>0</v>
      </c>
      <c r="J26" s="45">
        <f t="shared" si="4"/>
        <v>0</v>
      </c>
      <c r="K26" s="45">
        <f t="shared" si="4"/>
        <v>0</v>
      </c>
      <c r="L26" s="45">
        <f t="shared" si="4"/>
        <v>0</v>
      </c>
      <c r="M26" s="45">
        <f t="shared" si="4"/>
        <v>0</v>
      </c>
      <c r="N26" s="45">
        <f t="shared" si="4"/>
        <v>0</v>
      </c>
      <c r="O26" s="45">
        <f t="shared" si="4"/>
        <v>0</v>
      </c>
      <c r="P26" s="45">
        <f t="shared" si="4"/>
        <v>0</v>
      </c>
      <c r="Q26" s="45">
        <f t="shared" si="4"/>
        <v>0</v>
      </c>
    </row>
    <row r="27" spans="1:17" ht="12.75" customHeight="1">
      <c r="A27" s="1"/>
      <c r="B27" s="1"/>
      <c r="C27" s="1"/>
      <c r="D27" s="37"/>
      <c r="E27" s="53"/>
      <c r="F27" s="53"/>
      <c r="G27" s="53"/>
      <c r="H27" s="53"/>
      <c r="I27" s="53"/>
      <c r="J27" s="53"/>
      <c r="K27" s="53"/>
      <c r="L27" s="53"/>
      <c r="M27" s="53"/>
      <c r="N27" s="53"/>
      <c r="O27" s="53"/>
      <c r="P27" s="53"/>
      <c r="Q27" s="53"/>
    </row>
    <row r="28" spans="1:17" ht="12.75" customHeight="1" thickBot="1">
      <c r="A28" s="1" t="s">
        <v>278</v>
      </c>
      <c r="B28" s="1"/>
      <c r="C28" s="1"/>
      <c r="D28" s="37"/>
      <c r="E28" s="89">
        <f t="shared" ref="E28:Q28" si="5">E16-E26</f>
        <v>0</v>
      </c>
      <c r="F28" s="89">
        <f t="shared" si="5"/>
        <v>0</v>
      </c>
      <c r="G28" s="89">
        <f t="shared" si="5"/>
        <v>0</v>
      </c>
      <c r="H28" s="89">
        <f t="shared" si="5"/>
        <v>0</v>
      </c>
      <c r="I28" s="89">
        <f t="shared" si="5"/>
        <v>0</v>
      </c>
      <c r="J28" s="89">
        <f t="shared" si="5"/>
        <v>0</v>
      </c>
      <c r="K28" s="89">
        <f t="shared" si="5"/>
        <v>0</v>
      </c>
      <c r="L28" s="89">
        <f t="shared" si="5"/>
        <v>0</v>
      </c>
      <c r="M28" s="89">
        <f t="shared" si="5"/>
        <v>0</v>
      </c>
      <c r="N28" s="89">
        <f t="shared" si="5"/>
        <v>0</v>
      </c>
      <c r="O28" s="89">
        <f t="shared" si="5"/>
        <v>0</v>
      </c>
      <c r="P28" s="89">
        <f t="shared" si="5"/>
        <v>0</v>
      </c>
      <c r="Q28" s="89">
        <f t="shared" si="5"/>
        <v>0</v>
      </c>
    </row>
    <row r="29" spans="1:17" ht="12.75" customHeight="1">
      <c r="A29" s="1"/>
      <c r="B29" s="1"/>
      <c r="C29" s="1"/>
      <c r="D29" s="37"/>
      <c r="E29" s="45"/>
      <c r="F29" s="45"/>
      <c r="G29" s="45"/>
      <c r="H29" s="45"/>
      <c r="I29" s="45"/>
      <c r="J29" s="45"/>
      <c r="K29" s="45"/>
      <c r="L29" s="45"/>
      <c r="M29" s="45"/>
      <c r="N29" s="45"/>
      <c r="O29" s="45"/>
      <c r="P29" s="45"/>
      <c r="Q29" s="45"/>
    </row>
    <row r="30" spans="1:17" ht="12.75" customHeight="1" outlineLevel="1">
      <c r="A30" s="1" t="str">
        <f>'2a. Salaries and Wages Summary'!A11</f>
        <v>Salaries and Wages</v>
      </c>
      <c r="B30" s="1"/>
      <c r="C30" s="1"/>
      <c r="D30" s="37"/>
      <c r="E30" s="45"/>
      <c r="F30" s="45"/>
      <c r="G30" s="45"/>
      <c r="H30" s="45"/>
      <c r="I30" s="45"/>
      <c r="J30" s="45"/>
      <c r="K30" s="45"/>
      <c r="L30" s="45"/>
      <c r="M30" s="45"/>
      <c r="N30" s="45"/>
      <c r="O30" s="45"/>
      <c r="P30" s="45"/>
      <c r="Q30" s="45"/>
    </row>
    <row r="31" spans="1:17" ht="12.75" customHeight="1" outlineLevel="1">
      <c r="A31" s="1"/>
      <c r="B31" s="1" t="str">
        <f>'2a. Salaries and Wages Summary'!B12</f>
        <v>Owner's Compensation</v>
      </c>
      <c r="C31" s="1"/>
      <c r="D31" s="37"/>
      <c r="E31" s="45">
        <f>+'2.  Salary and Wage Detail'!B101</f>
        <v>0</v>
      </c>
      <c r="F31" s="45">
        <f>+'2.  Salary and Wage Detail'!C101</f>
        <v>0</v>
      </c>
      <c r="G31" s="45">
        <f>+'2.  Salary and Wage Detail'!D101</f>
        <v>0</v>
      </c>
      <c r="H31" s="45">
        <f>+'2.  Salary and Wage Detail'!E101</f>
        <v>0</v>
      </c>
      <c r="I31" s="45">
        <f>+'2.  Salary and Wage Detail'!F101</f>
        <v>0</v>
      </c>
      <c r="J31" s="45">
        <f>+'2.  Salary and Wage Detail'!G101</f>
        <v>0</v>
      </c>
      <c r="K31" s="45">
        <f>+'2.  Salary and Wage Detail'!H101</f>
        <v>0</v>
      </c>
      <c r="L31" s="45">
        <f>+'2.  Salary and Wage Detail'!I101</f>
        <v>0</v>
      </c>
      <c r="M31" s="45">
        <f>+'2.  Salary and Wage Detail'!J101</f>
        <v>0</v>
      </c>
      <c r="N31" s="45">
        <f>+'2.  Salary and Wage Detail'!K101</f>
        <v>0</v>
      </c>
      <c r="O31" s="45">
        <f>+'2.  Salary and Wage Detail'!L101</f>
        <v>0</v>
      </c>
      <c r="P31" s="45">
        <f>+'2.  Salary and Wage Detail'!M101</f>
        <v>0</v>
      </c>
      <c r="Q31" s="45">
        <f t="shared" ref="Q31:Q36" si="6">SUM(E31:P31)</f>
        <v>0</v>
      </c>
    </row>
    <row r="32" spans="1:17" ht="12.75" customHeight="1" outlineLevel="1">
      <c r="A32" s="1"/>
      <c r="B32" s="1" t="str">
        <f>'2a. Salaries and Wages Summary'!B13</f>
        <v>Salaries</v>
      </c>
      <c r="C32" s="1"/>
      <c r="D32" s="37"/>
      <c r="E32" s="45">
        <f>+'2.  Salary and Wage Detail'!B112</f>
        <v>0</v>
      </c>
      <c r="F32" s="45">
        <f>+'2.  Salary and Wage Detail'!C112</f>
        <v>0</v>
      </c>
      <c r="G32" s="45">
        <f>+'2.  Salary and Wage Detail'!D112</f>
        <v>0</v>
      </c>
      <c r="H32" s="45">
        <f>+'2.  Salary and Wage Detail'!E112</f>
        <v>0</v>
      </c>
      <c r="I32" s="45">
        <f>+'2.  Salary and Wage Detail'!F112</f>
        <v>0</v>
      </c>
      <c r="J32" s="45">
        <f>+'2.  Salary and Wage Detail'!G112</f>
        <v>0</v>
      </c>
      <c r="K32" s="45">
        <f>+'2.  Salary and Wage Detail'!H112</f>
        <v>0</v>
      </c>
      <c r="L32" s="45">
        <f>+'2.  Salary and Wage Detail'!I112</f>
        <v>0</v>
      </c>
      <c r="M32" s="45">
        <f>+'2.  Salary and Wage Detail'!J112</f>
        <v>0</v>
      </c>
      <c r="N32" s="45">
        <f>+'2.  Salary and Wage Detail'!K112</f>
        <v>0</v>
      </c>
      <c r="O32" s="45">
        <f>+'2.  Salary and Wage Detail'!L112</f>
        <v>0</v>
      </c>
      <c r="P32" s="45">
        <f>+'2.  Salary and Wage Detail'!M112</f>
        <v>0</v>
      </c>
      <c r="Q32" s="45">
        <f t="shared" si="6"/>
        <v>0</v>
      </c>
    </row>
    <row r="33" spans="1:17" ht="12.75" customHeight="1" outlineLevel="1">
      <c r="A33" s="1"/>
      <c r="B33" s="1" t="str">
        <f>'2a. Salaries and Wages Summary'!C15</f>
        <v>Full-Time Employees</v>
      </c>
      <c r="C33" s="1"/>
      <c r="D33" s="37"/>
      <c r="E33" s="45">
        <f>+'2.  Salary and Wage Detail'!B131</f>
        <v>0</v>
      </c>
      <c r="F33" s="45">
        <f>+'2.  Salary and Wage Detail'!C131</f>
        <v>0</v>
      </c>
      <c r="G33" s="45">
        <f>+'2.  Salary and Wage Detail'!D131</f>
        <v>0</v>
      </c>
      <c r="H33" s="45">
        <f>+'2.  Salary and Wage Detail'!E131</f>
        <v>0</v>
      </c>
      <c r="I33" s="45">
        <f>+'2.  Salary and Wage Detail'!F131</f>
        <v>0</v>
      </c>
      <c r="J33" s="45">
        <f>+'2.  Salary and Wage Detail'!G131</f>
        <v>0</v>
      </c>
      <c r="K33" s="45">
        <f>+'2.  Salary and Wage Detail'!H131</f>
        <v>0</v>
      </c>
      <c r="L33" s="45">
        <f>+'2.  Salary and Wage Detail'!I131</f>
        <v>0</v>
      </c>
      <c r="M33" s="45">
        <f>+'2.  Salary and Wage Detail'!J131</f>
        <v>0</v>
      </c>
      <c r="N33" s="45">
        <f>+'2.  Salary and Wage Detail'!K131</f>
        <v>0</v>
      </c>
      <c r="O33" s="45">
        <f>+'2.  Salary and Wage Detail'!L131</f>
        <v>0</v>
      </c>
      <c r="P33" s="45">
        <f>+'2.  Salary and Wage Detail'!M131</f>
        <v>0</v>
      </c>
      <c r="Q33" s="45">
        <f t="shared" si="6"/>
        <v>0</v>
      </c>
    </row>
    <row r="34" spans="1:17" ht="12.75" customHeight="1" outlineLevel="1">
      <c r="A34" s="1"/>
      <c r="B34" s="1" t="str">
        <f>'2a. Salaries and Wages Summary'!C18</f>
        <v>Part-Time Employees</v>
      </c>
      <c r="C34" s="1"/>
      <c r="D34" s="37"/>
      <c r="E34" s="45">
        <f>+'2.  Salary and Wage Detail'!B143</f>
        <v>0</v>
      </c>
      <c r="F34" s="45">
        <f>+'2.  Salary and Wage Detail'!C143</f>
        <v>0</v>
      </c>
      <c r="G34" s="45">
        <f>+'2.  Salary and Wage Detail'!D143</f>
        <v>0</v>
      </c>
      <c r="H34" s="45">
        <f>+'2.  Salary and Wage Detail'!E143</f>
        <v>0</v>
      </c>
      <c r="I34" s="45">
        <f>+'2.  Salary and Wage Detail'!F143</f>
        <v>0</v>
      </c>
      <c r="J34" s="45">
        <f>+'2.  Salary and Wage Detail'!G143</f>
        <v>0</v>
      </c>
      <c r="K34" s="45">
        <f>+'2.  Salary and Wage Detail'!H143</f>
        <v>0</v>
      </c>
      <c r="L34" s="45">
        <f>+'2.  Salary and Wage Detail'!I143</f>
        <v>0</v>
      </c>
      <c r="M34" s="45">
        <f>+'2.  Salary and Wage Detail'!J143</f>
        <v>0</v>
      </c>
      <c r="N34" s="45">
        <f>+'2.  Salary and Wage Detail'!K143</f>
        <v>0</v>
      </c>
      <c r="O34" s="45">
        <f>+'2.  Salary and Wage Detail'!L143</f>
        <v>0</v>
      </c>
      <c r="P34" s="45">
        <f>+'2.  Salary and Wage Detail'!M143</f>
        <v>0</v>
      </c>
      <c r="Q34" s="45">
        <f t="shared" si="6"/>
        <v>0</v>
      </c>
    </row>
    <row r="35" spans="1:17" ht="12.75" customHeight="1" outlineLevel="1">
      <c r="A35" s="1"/>
      <c r="B35" s="1" t="str">
        <f>'2a. Salaries and Wages Summary'!B21</f>
        <v>Independent Contractors</v>
      </c>
      <c r="C35" s="1"/>
      <c r="D35" s="37"/>
      <c r="E35" s="45">
        <f>'2a. Salaries and Wages Summary'!P21/12</f>
        <v>0</v>
      </c>
      <c r="F35" s="45">
        <f t="shared" ref="F35:P35" si="7">E35</f>
        <v>0</v>
      </c>
      <c r="G35" s="45">
        <f t="shared" si="7"/>
        <v>0</v>
      </c>
      <c r="H35" s="45">
        <f t="shared" si="7"/>
        <v>0</v>
      </c>
      <c r="I35" s="45">
        <f t="shared" si="7"/>
        <v>0</v>
      </c>
      <c r="J35" s="45">
        <f t="shared" si="7"/>
        <v>0</v>
      </c>
      <c r="K35" s="45">
        <f t="shared" si="7"/>
        <v>0</v>
      </c>
      <c r="L35" s="45">
        <f t="shared" si="7"/>
        <v>0</v>
      </c>
      <c r="M35" s="45">
        <f t="shared" si="7"/>
        <v>0</v>
      </c>
      <c r="N35" s="45">
        <f t="shared" si="7"/>
        <v>0</v>
      </c>
      <c r="O35" s="45">
        <f t="shared" si="7"/>
        <v>0</v>
      </c>
      <c r="P35" s="45">
        <f t="shared" si="7"/>
        <v>0</v>
      </c>
      <c r="Q35" s="45">
        <f t="shared" si="6"/>
        <v>0</v>
      </c>
    </row>
    <row r="36" spans="1:17" ht="12.75" customHeight="1" outlineLevel="1" thickBot="1">
      <c r="A36" s="1"/>
      <c r="B36" s="1" t="str">
        <f>'2a. Salaries and Wages Summary'!A24</f>
        <v>Payroll Taxes and Benefits</v>
      </c>
      <c r="C36" s="1"/>
      <c r="D36" s="37"/>
      <c r="E36" s="49">
        <f>SUM(E31:E34)*'2a. Salaries and Wages Summary'!$I$33</f>
        <v>0</v>
      </c>
      <c r="F36" s="49">
        <f>SUM(F31:F34)*'2a. Salaries and Wages Summary'!$I$33</f>
        <v>0</v>
      </c>
      <c r="G36" s="49">
        <f>SUM(G31:G34)*'2a. Salaries and Wages Summary'!$I$33</f>
        <v>0</v>
      </c>
      <c r="H36" s="49">
        <f>SUM(H31:H34)*'2a. Salaries and Wages Summary'!$I$33</f>
        <v>0</v>
      </c>
      <c r="I36" s="49">
        <f>SUM(I31:I34)*'2a. Salaries and Wages Summary'!$I$33</f>
        <v>0</v>
      </c>
      <c r="J36" s="49">
        <f>SUM(J31:J34)*'2a. Salaries and Wages Summary'!$I$33</f>
        <v>0</v>
      </c>
      <c r="K36" s="49">
        <f>SUM(K31:K34)*'2a. Salaries and Wages Summary'!$I$33</f>
        <v>0</v>
      </c>
      <c r="L36" s="49">
        <f>SUM(L31:L34)*'2a. Salaries and Wages Summary'!$I$33</f>
        <v>0</v>
      </c>
      <c r="M36" s="49">
        <f>SUM(M31:M34)*'2a. Salaries and Wages Summary'!$I$33</f>
        <v>0</v>
      </c>
      <c r="N36" s="49">
        <f>SUM(N31:N34)*'2a. Salaries and Wages Summary'!$I$33</f>
        <v>0</v>
      </c>
      <c r="O36" s="49">
        <f>SUM(O31:O34)*'2a. Salaries and Wages Summary'!$I$33</f>
        <v>0</v>
      </c>
      <c r="P36" s="49">
        <f>SUM(P31:P34)*'2a. Salaries and Wages Summary'!$I$33</f>
        <v>0</v>
      </c>
      <c r="Q36" s="49">
        <f t="shared" si="6"/>
        <v>0</v>
      </c>
    </row>
    <row r="37" spans="1:17" ht="12.75" customHeight="1">
      <c r="A37" s="1" t="s">
        <v>174</v>
      </c>
      <c r="B37" s="1"/>
      <c r="C37" s="1"/>
      <c r="D37" s="37"/>
      <c r="E37" s="45">
        <f t="shared" ref="E37:Q37" si="8">SUM(E31:E36)</f>
        <v>0</v>
      </c>
      <c r="F37" s="45">
        <f t="shared" si="8"/>
        <v>0</v>
      </c>
      <c r="G37" s="45">
        <f t="shared" si="8"/>
        <v>0</v>
      </c>
      <c r="H37" s="45">
        <f t="shared" si="8"/>
        <v>0</v>
      </c>
      <c r="I37" s="45">
        <f t="shared" si="8"/>
        <v>0</v>
      </c>
      <c r="J37" s="45">
        <f t="shared" si="8"/>
        <v>0</v>
      </c>
      <c r="K37" s="45">
        <f t="shared" si="8"/>
        <v>0</v>
      </c>
      <c r="L37" s="45">
        <f t="shared" si="8"/>
        <v>0</v>
      </c>
      <c r="M37" s="45">
        <f t="shared" si="8"/>
        <v>0</v>
      </c>
      <c r="N37" s="45">
        <f t="shared" si="8"/>
        <v>0</v>
      </c>
      <c r="O37" s="45">
        <f t="shared" si="8"/>
        <v>0</v>
      </c>
      <c r="P37" s="45">
        <f t="shared" si="8"/>
        <v>0</v>
      </c>
      <c r="Q37" s="45">
        <f t="shared" si="8"/>
        <v>0</v>
      </c>
    </row>
    <row r="38" spans="1:17" ht="12.75" customHeight="1" thickBot="1">
      <c r="A38" s="1"/>
      <c r="B38" s="1"/>
      <c r="C38" s="1"/>
      <c r="D38" s="37"/>
      <c r="E38" s="45"/>
      <c r="F38" s="45"/>
      <c r="G38" s="45"/>
      <c r="H38" s="45"/>
      <c r="I38" s="45"/>
      <c r="J38" s="45"/>
      <c r="K38" s="45"/>
      <c r="L38" s="45"/>
      <c r="M38" s="45"/>
      <c r="N38" s="45"/>
      <c r="O38" s="45"/>
      <c r="P38" s="45"/>
      <c r="Q38" s="45"/>
    </row>
    <row r="39" spans="1:17" ht="12.75" hidden="1" customHeight="1" outlineLevel="1">
      <c r="A39" s="1" t="s">
        <v>313</v>
      </c>
      <c r="B39" s="1"/>
      <c r="C39" s="1"/>
      <c r="D39" s="37"/>
      <c r="E39" s="45"/>
      <c r="F39" s="45"/>
      <c r="G39" s="45"/>
      <c r="H39" s="45"/>
      <c r="I39" s="45"/>
      <c r="J39" s="45"/>
      <c r="K39" s="45"/>
      <c r="L39" s="45"/>
      <c r="M39" s="45"/>
      <c r="N39" s="45"/>
      <c r="O39" s="45"/>
      <c r="P39" s="45"/>
      <c r="Q39" s="45"/>
    </row>
    <row r="40" spans="1:17" ht="12.75" hidden="1" customHeight="1" outlineLevel="1">
      <c r="A40" s="1"/>
      <c r="B40" s="1" t="str">
        <f>'3. Fixed Operating Expenses'!B11</f>
        <v>Advertising</v>
      </c>
      <c r="C40" s="1"/>
      <c r="D40" s="37"/>
      <c r="E40" s="45">
        <f>'3. Fixed Operating Expenses'!J11/12</f>
        <v>0</v>
      </c>
      <c r="F40" s="86">
        <f t="shared" ref="F40:P40" si="9">E40</f>
        <v>0</v>
      </c>
      <c r="G40" s="86">
        <f t="shared" si="9"/>
        <v>0</v>
      </c>
      <c r="H40" s="86">
        <f t="shared" si="9"/>
        <v>0</v>
      </c>
      <c r="I40" s="86">
        <f t="shared" si="9"/>
        <v>0</v>
      </c>
      <c r="J40" s="86">
        <f t="shared" si="9"/>
        <v>0</v>
      </c>
      <c r="K40" s="86">
        <f t="shared" si="9"/>
        <v>0</v>
      </c>
      <c r="L40" s="86">
        <f t="shared" si="9"/>
        <v>0</v>
      </c>
      <c r="M40" s="86">
        <f t="shared" si="9"/>
        <v>0</v>
      </c>
      <c r="N40" s="86">
        <f t="shared" si="9"/>
        <v>0</v>
      </c>
      <c r="O40" s="86">
        <f t="shared" si="9"/>
        <v>0</v>
      </c>
      <c r="P40" s="86">
        <f t="shared" si="9"/>
        <v>0</v>
      </c>
      <c r="Q40" s="45">
        <f t="shared" ref="Q40:Q59" si="10">SUM(E40:P40)</f>
        <v>0</v>
      </c>
    </row>
    <row r="41" spans="1:17" ht="12.75" hidden="1" customHeight="1" outlineLevel="1">
      <c r="A41" s="1"/>
      <c r="B41" s="1" t="str">
        <f>'3. Fixed Operating Expenses'!B12</f>
        <v>Car and Truck Expenses</v>
      </c>
      <c r="C41" s="1"/>
      <c r="D41" s="37"/>
      <c r="E41" s="45">
        <f>'3. Fixed Operating Expenses'!J12/12</f>
        <v>0</v>
      </c>
      <c r="F41" s="86">
        <f t="shared" ref="F41:P41" si="11">E41</f>
        <v>0</v>
      </c>
      <c r="G41" s="86">
        <f t="shared" si="11"/>
        <v>0</v>
      </c>
      <c r="H41" s="86">
        <f t="shared" si="11"/>
        <v>0</v>
      </c>
      <c r="I41" s="86">
        <f t="shared" si="11"/>
        <v>0</v>
      </c>
      <c r="J41" s="86">
        <f t="shared" si="11"/>
        <v>0</v>
      </c>
      <c r="K41" s="86">
        <f t="shared" si="11"/>
        <v>0</v>
      </c>
      <c r="L41" s="86">
        <f t="shared" si="11"/>
        <v>0</v>
      </c>
      <c r="M41" s="86">
        <f t="shared" si="11"/>
        <v>0</v>
      </c>
      <c r="N41" s="86">
        <f t="shared" si="11"/>
        <v>0</v>
      </c>
      <c r="O41" s="86">
        <f t="shared" si="11"/>
        <v>0</v>
      </c>
      <c r="P41" s="86">
        <f t="shared" si="11"/>
        <v>0</v>
      </c>
      <c r="Q41" s="45">
        <f t="shared" si="10"/>
        <v>0</v>
      </c>
    </row>
    <row r="42" spans="1:17" ht="12.75" hidden="1" customHeight="1" outlineLevel="1">
      <c r="A42" s="1"/>
      <c r="B42" s="1" t="str">
        <f>'3. Fixed Operating Expenses'!B13</f>
        <v>Bank &amp; Merchant Fees</v>
      </c>
      <c r="C42" s="1"/>
      <c r="D42" s="37"/>
      <c r="E42" s="45">
        <f>'3. Fixed Operating Expenses'!J13/12</f>
        <v>0</v>
      </c>
      <c r="F42" s="86">
        <f t="shared" ref="F42:P42" si="12">E42</f>
        <v>0</v>
      </c>
      <c r="G42" s="86">
        <f t="shared" si="12"/>
        <v>0</v>
      </c>
      <c r="H42" s="86">
        <f t="shared" si="12"/>
        <v>0</v>
      </c>
      <c r="I42" s="86">
        <f t="shared" si="12"/>
        <v>0</v>
      </c>
      <c r="J42" s="86">
        <f t="shared" si="12"/>
        <v>0</v>
      </c>
      <c r="K42" s="86">
        <f t="shared" si="12"/>
        <v>0</v>
      </c>
      <c r="L42" s="86">
        <f t="shared" si="12"/>
        <v>0</v>
      </c>
      <c r="M42" s="86">
        <f t="shared" si="12"/>
        <v>0</v>
      </c>
      <c r="N42" s="86">
        <f t="shared" si="12"/>
        <v>0</v>
      </c>
      <c r="O42" s="86">
        <f t="shared" si="12"/>
        <v>0</v>
      </c>
      <c r="P42" s="86">
        <f t="shared" si="12"/>
        <v>0</v>
      </c>
      <c r="Q42" s="45">
        <f t="shared" si="10"/>
        <v>0</v>
      </c>
    </row>
    <row r="43" spans="1:17" ht="12.75" hidden="1" customHeight="1" outlineLevel="1">
      <c r="A43" s="1"/>
      <c r="B43" s="1" t="str">
        <f>'3. Fixed Operating Expenses'!B14</f>
        <v>Contract Labor</v>
      </c>
      <c r="C43" s="1"/>
      <c r="D43" s="37"/>
      <c r="E43" s="45">
        <f>'3. Fixed Operating Expenses'!J14/12</f>
        <v>0</v>
      </c>
      <c r="F43" s="86">
        <f t="shared" ref="F43:P43" si="13">E43</f>
        <v>0</v>
      </c>
      <c r="G43" s="86">
        <f t="shared" si="13"/>
        <v>0</v>
      </c>
      <c r="H43" s="86">
        <f t="shared" si="13"/>
        <v>0</v>
      </c>
      <c r="I43" s="86">
        <f t="shared" si="13"/>
        <v>0</v>
      </c>
      <c r="J43" s="86">
        <f t="shared" si="13"/>
        <v>0</v>
      </c>
      <c r="K43" s="86">
        <f t="shared" si="13"/>
        <v>0</v>
      </c>
      <c r="L43" s="86">
        <f t="shared" si="13"/>
        <v>0</v>
      </c>
      <c r="M43" s="86">
        <f t="shared" si="13"/>
        <v>0</v>
      </c>
      <c r="N43" s="86">
        <f t="shared" si="13"/>
        <v>0</v>
      </c>
      <c r="O43" s="86">
        <f t="shared" si="13"/>
        <v>0</v>
      </c>
      <c r="P43" s="86">
        <f t="shared" si="13"/>
        <v>0</v>
      </c>
      <c r="Q43" s="45">
        <f t="shared" si="10"/>
        <v>0</v>
      </c>
    </row>
    <row r="44" spans="1:17" ht="12.75" hidden="1" customHeight="1" outlineLevel="1">
      <c r="A44" s="1"/>
      <c r="B44" s="1" t="str">
        <f>'3. Fixed Operating Expenses'!B15</f>
        <v>Conferences &amp; Seminars</v>
      </c>
      <c r="C44" s="1"/>
      <c r="D44" s="37"/>
      <c r="E44" s="45">
        <f>'3. Fixed Operating Expenses'!J15/12</f>
        <v>0</v>
      </c>
      <c r="F44" s="86">
        <f t="shared" ref="F44:P44" si="14">E44</f>
        <v>0</v>
      </c>
      <c r="G44" s="86">
        <f t="shared" si="14"/>
        <v>0</v>
      </c>
      <c r="H44" s="86">
        <f t="shared" si="14"/>
        <v>0</v>
      </c>
      <c r="I44" s="86">
        <f t="shared" si="14"/>
        <v>0</v>
      </c>
      <c r="J44" s="86">
        <f t="shared" si="14"/>
        <v>0</v>
      </c>
      <c r="K44" s="86">
        <f t="shared" si="14"/>
        <v>0</v>
      </c>
      <c r="L44" s="86">
        <f t="shared" si="14"/>
        <v>0</v>
      </c>
      <c r="M44" s="86">
        <f t="shared" si="14"/>
        <v>0</v>
      </c>
      <c r="N44" s="86">
        <f t="shared" si="14"/>
        <v>0</v>
      </c>
      <c r="O44" s="86">
        <f t="shared" si="14"/>
        <v>0</v>
      </c>
      <c r="P44" s="86">
        <f t="shared" si="14"/>
        <v>0</v>
      </c>
      <c r="Q44" s="45">
        <f t="shared" si="10"/>
        <v>0</v>
      </c>
    </row>
    <row r="45" spans="1:17" ht="12.75" hidden="1" customHeight="1" outlineLevel="1">
      <c r="A45" s="1"/>
      <c r="B45" s="1" t="str">
        <f>'3. Fixed Operating Expenses'!B16</f>
        <v>Customer Discounts and Refunds</v>
      </c>
      <c r="C45" s="1"/>
      <c r="D45" s="37"/>
      <c r="E45" s="45">
        <f>'3. Fixed Operating Expenses'!J16/12</f>
        <v>0</v>
      </c>
      <c r="F45" s="86">
        <f t="shared" ref="F45:P45" si="15">E45</f>
        <v>0</v>
      </c>
      <c r="G45" s="86">
        <f t="shared" si="15"/>
        <v>0</v>
      </c>
      <c r="H45" s="86">
        <f t="shared" si="15"/>
        <v>0</v>
      </c>
      <c r="I45" s="86">
        <f t="shared" si="15"/>
        <v>0</v>
      </c>
      <c r="J45" s="86">
        <f t="shared" si="15"/>
        <v>0</v>
      </c>
      <c r="K45" s="86">
        <f t="shared" si="15"/>
        <v>0</v>
      </c>
      <c r="L45" s="86">
        <f t="shared" si="15"/>
        <v>0</v>
      </c>
      <c r="M45" s="86">
        <f t="shared" si="15"/>
        <v>0</v>
      </c>
      <c r="N45" s="86">
        <f t="shared" si="15"/>
        <v>0</v>
      </c>
      <c r="O45" s="86">
        <f t="shared" si="15"/>
        <v>0</v>
      </c>
      <c r="P45" s="86">
        <f t="shared" si="15"/>
        <v>0</v>
      </c>
      <c r="Q45" s="45">
        <f t="shared" si="10"/>
        <v>0</v>
      </c>
    </row>
    <row r="46" spans="1:17" ht="12.75" hidden="1" customHeight="1" outlineLevel="1">
      <c r="A46" s="1"/>
      <c r="B46" s="1" t="str">
        <f>'3. Fixed Operating Expenses'!B17</f>
        <v>Dues and Subscriptions</v>
      </c>
      <c r="C46" s="1"/>
      <c r="D46" s="37"/>
      <c r="E46" s="45">
        <f>'3. Fixed Operating Expenses'!J17/12</f>
        <v>0</v>
      </c>
      <c r="F46" s="86">
        <f t="shared" ref="F46:P46" si="16">E46</f>
        <v>0</v>
      </c>
      <c r="G46" s="86">
        <f t="shared" si="16"/>
        <v>0</v>
      </c>
      <c r="H46" s="86">
        <f t="shared" si="16"/>
        <v>0</v>
      </c>
      <c r="I46" s="86">
        <f t="shared" si="16"/>
        <v>0</v>
      </c>
      <c r="J46" s="86">
        <f t="shared" si="16"/>
        <v>0</v>
      </c>
      <c r="K46" s="86">
        <f t="shared" si="16"/>
        <v>0</v>
      </c>
      <c r="L46" s="86">
        <f t="shared" si="16"/>
        <v>0</v>
      </c>
      <c r="M46" s="86">
        <f t="shared" si="16"/>
        <v>0</v>
      </c>
      <c r="N46" s="86">
        <f t="shared" si="16"/>
        <v>0</v>
      </c>
      <c r="O46" s="86">
        <f t="shared" si="16"/>
        <v>0</v>
      </c>
      <c r="P46" s="86">
        <f t="shared" si="16"/>
        <v>0</v>
      </c>
      <c r="Q46" s="45">
        <f t="shared" si="10"/>
        <v>0</v>
      </c>
    </row>
    <row r="47" spans="1:17" ht="12.75" hidden="1" customHeight="1" outlineLevel="1">
      <c r="A47" s="1"/>
      <c r="B47" s="1" t="str">
        <f>'3. Fixed Operating Expenses'!B18</f>
        <v>Miscellaneous</v>
      </c>
      <c r="C47" s="1"/>
      <c r="D47" s="37"/>
      <c r="E47" s="45">
        <f>'3. Fixed Operating Expenses'!J18/12</f>
        <v>0</v>
      </c>
      <c r="F47" s="86">
        <f t="shared" ref="F47:P47" si="17">E47</f>
        <v>0</v>
      </c>
      <c r="G47" s="86">
        <f t="shared" si="17"/>
        <v>0</v>
      </c>
      <c r="H47" s="86">
        <f t="shared" si="17"/>
        <v>0</v>
      </c>
      <c r="I47" s="86">
        <f t="shared" si="17"/>
        <v>0</v>
      </c>
      <c r="J47" s="86">
        <f t="shared" si="17"/>
        <v>0</v>
      </c>
      <c r="K47" s="86">
        <f t="shared" si="17"/>
        <v>0</v>
      </c>
      <c r="L47" s="86">
        <f t="shared" si="17"/>
        <v>0</v>
      </c>
      <c r="M47" s="86">
        <f t="shared" si="17"/>
        <v>0</v>
      </c>
      <c r="N47" s="86">
        <f t="shared" si="17"/>
        <v>0</v>
      </c>
      <c r="O47" s="86">
        <f t="shared" si="17"/>
        <v>0</v>
      </c>
      <c r="P47" s="86">
        <f t="shared" si="17"/>
        <v>0</v>
      </c>
      <c r="Q47" s="45">
        <f t="shared" si="10"/>
        <v>0</v>
      </c>
    </row>
    <row r="48" spans="1:17" ht="12.75" hidden="1" customHeight="1" outlineLevel="1">
      <c r="A48" s="1"/>
      <c r="B48" s="1" t="str">
        <f>'3. Fixed Operating Expenses'!B19</f>
        <v>Insurance (Liability and Property)</v>
      </c>
      <c r="C48" s="1"/>
      <c r="D48" s="37"/>
      <c r="E48" s="45">
        <f>'3. Fixed Operating Expenses'!J19/12</f>
        <v>0</v>
      </c>
      <c r="F48" s="86">
        <f t="shared" ref="F48:P48" si="18">E48</f>
        <v>0</v>
      </c>
      <c r="G48" s="86">
        <f t="shared" si="18"/>
        <v>0</v>
      </c>
      <c r="H48" s="86">
        <f t="shared" si="18"/>
        <v>0</v>
      </c>
      <c r="I48" s="86">
        <f t="shared" si="18"/>
        <v>0</v>
      </c>
      <c r="J48" s="86">
        <f t="shared" si="18"/>
        <v>0</v>
      </c>
      <c r="K48" s="86">
        <f t="shared" si="18"/>
        <v>0</v>
      </c>
      <c r="L48" s="86">
        <f t="shared" si="18"/>
        <v>0</v>
      </c>
      <c r="M48" s="86">
        <f t="shared" si="18"/>
        <v>0</v>
      </c>
      <c r="N48" s="86">
        <f t="shared" si="18"/>
        <v>0</v>
      </c>
      <c r="O48" s="86">
        <f t="shared" si="18"/>
        <v>0</v>
      </c>
      <c r="P48" s="86">
        <f t="shared" si="18"/>
        <v>0</v>
      </c>
      <c r="Q48" s="45">
        <f t="shared" si="10"/>
        <v>0</v>
      </c>
    </row>
    <row r="49" spans="1:17" ht="12.75" hidden="1" customHeight="1" outlineLevel="1">
      <c r="A49" s="1"/>
      <c r="B49" s="1" t="str">
        <f>'3. Fixed Operating Expenses'!B20</f>
        <v>Licenses/Fees/Permits</v>
      </c>
      <c r="C49" s="1"/>
      <c r="D49" s="37"/>
      <c r="E49" s="45">
        <f>'3. Fixed Operating Expenses'!J20/12</f>
        <v>0</v>
      </c>
      <c r="F49" s="86">
        <f t="shared" ref="F49:P49" si="19">E49</f>
        <v>0</v>
      </c>
      <c r="G49" s="86">
        <f t="shared" si="19"/>
        <v>0</v>
      </c>
      <c r="H49" s="86">
        <f t="shared" si="19"/>
        <v>0</v>
      </c>
      <c r="I49" s="86">
        <f t="shared" si="19"/>
        <v>0</v>
      </c>
      <c r="J49" s="86">
        <f t="shared" si="19"/>
        <v>0</v>
      </c>
      <c r="K49" s="86">
        <f t="shared" si="19"/>
        <v>0</v>
      </c>
      <c r="L49" s="86">
        <f t="shared" si="19"/>
        <v>0</v>
      </c>
      <c r="M49" s="86">
        <f t="shared" si="19"/>
        <v>0</v>
      </c>
      <c r="N49" s="86">
        <f t="shared" si="19"/>
        <v>0</v>
      </c>
      <c r="O49" s="86">
        <f t="shared" si="19"/>
        <v>0</v>
      </c>
      <c r="P49" s="86">
        <f t="shared" si="19"/>
        <v>0</v>
      </c>
      <c r="Q49" s="45">
        <f t="shared" si="10"/>
        <v>0</v>
      </c>
    </row>
    <row r="50" spans="1:17" ht="12.75" hidden="1" customHeight="1" outlineLevel="1">
      <c r="A50" s="1"/>
      <c r="B50" s="1" t="str">
        <f>'3. Fixed Operating Expenses'!B21</f>
        <v>Legal and Professional Fees</v>
      </c>
      <c r="C50" s="1"/>
      <c r="D50" s="37"/>
      <c r="E50" s="45">
        <f>'3. Fixed Operating Expenses'!J21/12</f>
        <v>0</v>
      </c>
      <c r="F50" s="86">
        <f t="shared" ref="F50:P50" si="20">E50</f>
        <v>0</v>
      </c>
      <c r="G50" s="86">
        <f t="shared" si="20"/>
        <v>0</v>
      </c>
      <c r="H50" s="86">
        <f t="shared" si="20"/>
        <v>0</v>
      </c>
      <c r="I50" s="86">
        <f t="shared" si="20"/>
        <v>0</v>
      </c>
      <c r="J50" s="86">
        <f t="shared" si="20"/>
        <v>0</v>
      </c>
      <c r="K50" s="86">
        <f t="shared" si="20"/>
        <v>0</v>
      </c>
      <c r="L50" s="86">
        <f t="shared" si="20"/>
        <v>0</v>
      </c>
      <c r="M50" s="86">
        <f t="shared" si="20"/>
        <v>0</v>
      </c>
      <c r="N50" s="86">
        <f t="shared" si="20"/>
        <v>0</v>
      </c>
      <c r="O50" s="86">
        <f t="shared" si="20"/>
        <v>0</v>
      </c>
      <c r="P50" s="86">
        <f t="shared" si="20"/>
        <v>0</v>
      </c>
      <c r="Q50" s="45">
        <f t="shared" si="10"/>
        <v>0</v>
      </c>
    </row>
    <row r="51" spans="1:17" ht="12.75" hidden="1" customHeight="1" outlineLevel="1">
      <c r="A51" s="1"/>
      <c r="B51" s="1" t="str">
        <f>'3. Fixed Operating Expenses'!B22</f>
        <v>Office Expenses &amp; Supplies</v>
      </c>
      <c r="C51" s="1"/>
      <c r="D51" s="37"/>
      <c r="E51" s="45">
        <f>'3. Fixed Operating Expenses'!J22/12</f>
        <v>0</v>
      </c>
      <c r="F51" s="86">
        <f t="shared" ref="F51:P51" si="21">E51</f>
        <v>0</v>
      </c>
      <c r="G51" s="86">
        <f t="shared" si="21"/>
        <v>0</v>
      </c>
      <c r="H51" s="86">
        <f t="shared" si="21"/>
        <v>0</v>
      </c>
      <c r="I51" s="86">
        <f t="shared" si="21"/>
        <v>0</v>
      </c>
      <c r="J51" s="86">
        <f t="shared" si="21"/>
        <v>0</v>
      </c>
      <c r="K51" s="86">
        <f t="shared" si="21"/>
        <v>0</v>
      </c>
      <c r="L51" s="86">
        <f t="shared" si="21"/>
        <v>0</v>
      </c>
      <c r="M51" s="86">
        <f t="shared" si="21"/>
        <v>0</v>
      </c>
      <c r="N51" s="86">
        <f t="shared" si="21"/>
        <v>0</v>
      </c>
      <c r="O51" s="86">
        <f t="shared" si="21"/>
        <v>0</v>
      </c>
      <c r="P51" s="86">
        <f t="shared" si="21"/>
        <v>0</v>
      </c>
      <c r="Q51" s="45">
        <f t="shared" si="10"/>
        <v>0</v>
      </c>
    </row>
    <row r="52" spans="1:17" ht="12.75" hidden="1" customHeight="1" outlineLevel="1">
      <c r="A52" s="1"/>
      <c r="B52" s="1" t="str">
        <f>'3. Fixed Operating Expenses'!B23</f>
        <v>Postage and Delivery</v>
      </c>
      <c r="C52" s="1"/>
      <c r="D52" s="37"/>
      <c r="E52" s="45">
        <f>'3. Fixed Operating Expenses'!J23/12</f>
        <v>0</v>
      </c>
      <c r="F52" s="86">
        <f t="shared" ref="F52:P52" si="22">E52</f>
        <v>0</v>
      </c>
      <c r="G52" s="86">
        <f t="shared" si="22"/>
        <v>0</v>
      </c>
      <c r="H52" s="86">
        <f t="shared" si="22"/>
        <v>0</v>
      </c>
      <c r="I52" s="86">
        <f t="shared" si="22"/>
        <v>0</v>
      </c>
      <c r="J52" s="86">
        <f t="shared" si="22"/>
        <v>0</v>
      </c>
      <c r="K52" s="86">
        <f t="shared" si="22"/>
        <v>0</v>
      </c>
      <c r="L52" s="86">
        <f t="shared" si="22"/>
        <v>0</v>
      </c>
      <c r="M52" s="86">
        <f t="shared" si="22"/>
        <v>0</v>
      </c>
      <c r="N52" s="86">
        <f t="shared" si="22"/>
        <v>0</v>
      </c>
      <c r="O52" s="86">
        <f t="shared" si="22"/>
        <v>0</v>
      </c>
      <c r="P52" s="86">
        <f t="shared" si="22"/>
        <v>0</v>
      </c>
      <c r="Q52" s="45">
        <f t="shared" si="10"/>
        <v>0</v>
      </c>
    </row>
    <row r="53" spans="1:17" ht="12.75" hidden="1" customHeight="1" outlineLevel="1">
      <c r="A53" s="1"/>
      <c r="B53" s="1" t="str">
        <f>'3. Fixed Operating Expenses'!B24</f>
        <v>Rent (on business property)</v>
      </c>
      <c r="C53" s="1"/>
      <c r="D53" s="37"/>
      <c r="E53" s="45">
        <f>'3. Fixed Operating Expenses'!J24/12</f>
        <v>0</v>
      </c>
      <c r="F53" s="86">
        <f t="shared" ref="F53:P53" si="23">E53</f>
        <v>0</v>
      </c>
      <c r="G53" s="86">
        <f t="shared" si="23"/>
        <v>0</v>
      </c>
      <c r="H53" s="86">
        <f t="shared" si="23"/>
        <v>0</v>
      </c>
      <c r="I53" s="86">
        <f t="shared" si="23"/>
        <v>0</v>
      </c>
      <c r="J53" s="86">
        <f t="shared" si="23"/>
        <v>0</v>
      </c>
      <c r="K53" s="86">
        <f t="shared" si="23"/>
        <v>0</v>
      </c>
      <c r="L53" s="86">
        <f t="shared" si="23"/>
        <v>0</v>
      </c>
      <c r="M53" s="86">
        <f t="shared" si="23"/>
        <v>0</v>
      </c>
      <c r="N53" s="86">
        <f t="shared" si="23"/>
        <v>0</v>
      </c>
      <c r="O53" s="86">
        <f t="shared" si="23"/>
        <v>0</v>
      </c>
      <c r="P53" s="86">
        <f t="shared" si="23"/>
        <v>0</v>
      </c>
      <c r="Q53" s="45">
        <f t="shared" si="10"/>
        <v>0</v>
      </c>
    </row>
    <row r="54" spans="1:17" ht="12.75" hidden="1" customHeight="1" outlineLevel="1">
      <c r="A54" s="1"/>
      <c r="B54" s="1" t="str">
        <f>'3. Fixed Operating Expenses'!B25</f>
        <v>Rent of Vehicles and Equipment</v>
      </c>
      <c r="C54" s="1"/>
      <c r="D54" s="37"/>
      <c r="E54" s="45">
        <f>'3. Fixed Operating Expenses'!J25/12</f>
        <v>0</v>
      </c>
      <c r="F54" s="86">
        <f t="shared" ref="F54:P54" si="24">E54</f>
        <v>0</v>
      </c>
      <c r="G54" s="86">
        <f t="shared" si="24"/>
        <v>0</v>
      </c>
      <c r="H54" s="86">
        <f t="shared" si="24"/>
        <v>0</v>
      </c>
      <c r="I54" s="86">
        <f t="shared" si="24"/>
        <v>0</v>
      </c>
      <c r="J54" s="86">
        <f t="shared" si="24"/>
        <v>0</v>
      </c>
      <c r="K54" s="86">
        <f t="shared" si="24"/>
        <v>0</v>
      </c>
      <c r="L54" s="86">
        <f t="shared" si="24"/>
        <v>0</v>
      </c>
      <c r="M54" s="86">
        <f t="shared" si="24"/>
        <v>0</v>
      </c>
      <c r="N54" s="86">
        <f t="shared" si="24"/>
        <v>0</v>
      </c>
      <c r="O54" s="86">
        <f t="shared" si="24"/>
        <v>0</v>
      </c>
      <c r="P54" s="86">
        <f t="shared" si="24"/>
        <v>0</v>
      </c>
      <c r="Q54" s="45">
        <f t="shared" si="10"/>
        <v>0</v>
      </c>
    </row>
    <row r="55" spans="1:17" ht="12.75" hidden="1" customHeight="1" outlineLevel="1">
      <c r="A55" s="1"/>
      <c r="B55" s="1" t="str">
        <f>'3. Fixed Operating Expenses'!B26</f>
        <v>Sales &amp; Marketing</v>
      </c>
      <c r="C55" s="1"/>
      <c r="D55" s="37"/>
      <c r="E55" s="45">
        <f>'3. Fixed Operating Expenses'!J26/12</f>
        <v>0</v>
      </c>
      <c r="F55" s="86">
        <f t="shared" ref="F55:P55" si="25">E55</f>
        <v>0</v>
      </c>
      <c r="G55" s="86">
        <f t="shared" si="25"/>
        <v>0</v>
      </c>
      <c r="H55" s="86">
        <f t="shared" si="25"/>
        <v>0</v>
      </c>
      <c r="I55" s="86">
        <f t="shared" si="25"/>
        <v>0</v>
      </c>
      <c r="J55" s="86">
        <f t="shared" si="25"/>
        <v>0</v>
      </c>
      <c r="K55" s="86">
        <f t="shared" si="25"/>
        <v>0</v>
      </c>
      <c r="L55" s="86">
        <f t="shared" si="25"/>
        <v>0</v>
      </c>
      <c r="M55" s="86">
        <f t="shared" si="25"/>
        <v>0</v>
      </c>
      <c r="N55" s="86">
        <f t="shared" si="25"/>
        <v>0</v>
      </c>
      <c r="O55" s="86">
        <f t="shared" si="25"/>
        <v>0</v>
      </c>
      <c r="P55" s="86">
        <f t="shared" si="25"/>
        <v>0</v>
      </c>
      <c r="Q55" s="45">
        <f t="shared" si="10"/>
        <v>0</v>
      </c>
    </row>
    <row r="56" spans="1:17" ht="12.75" hidden="1" customHeight="1" outlineLevel="1">
      <c r="A56" s="1"/>
      <c r="B56" s="1" t="str">
        <f>'3. Fixed Operating Expenses'!B27</f>
        <v>Taxes-Other</v>
      </c>
      <c r="C56" s="1"/>
      <c r="D56" s="37"/>
      <c r="E56" s="45">
        <f>'3. Fixed Operating Expenses'!J27/12</f>
        <v>0</v>
      </c>
      <c r="F56" s="86">
        <f t="shared" ref="F56:P56" si="26">E56</f>
        <v>0</v>
      </c>
      <c r="G56" s="86">
        <f t="shared" si="26"/>
        <v>0</v>
      </c>
      <c r="H56" s="86">
        <f t="shared" si="26"/>
        <v>0</v>
      </c>
      <c r="I56" s="86">
        <f t="shared" si="26"/>
        <v>0</v>
      </c>
      <c r="J56" s="86">
        <f t="shared" si="26"/>
        <v>0</v>
      </c>
      <c r="K56" s="86">
        <f t="shared" si="26"/>
        <v>0</v>
      </c>
      <c r="L56" s="86">
        <f t="shared" si="26"/>
        <v>0</v>
      </c>
      <c r="M56" s="86">
        <f t="shared" si="26"/>
        <v>0</v>
      </c>
      <c r="N56" s="86">
        <f t="shared" si="26"/>
        <v>0</v>
      </c>
      <c r="O56" s="86">
        <f t="shared" si="26"/>
        <v>0</v>
      </c>
      <c r="P56" s="86">
        <f t="shared" si="26"/>
        <v>0</v>
      </c>
      <c r="Q56" s="45">
        <f t="shared" si="10"/>
        <v>0</v>
      </c>
    </row>
    <row r="57" spans="1:17" ht="12.75" hidden="1" customHeight="1" outlineLevel="1">
      <c r="A57" s="1"/>
      <c r="B57" s="1" t="str">
        <f>'3. Fixed Operating Expenses'!B28</f>
        <v>Telephone and Communications</v>
      </c>
      <c r="C57" s="1"/>
      <c r="D57" s="37"/>
      <c r="E57" s="45">
        <f>'3. Fixed Operating Expenses'!J28/12</f>
        <v>0</v>
      </c>
      <c r="F57" s="86">
        <f t="shared" ref="F57:P57" si="27">E57</f>
        <v>0</v>
      </c>
      <c r="G57" s="86">
        <f t="shared" si="27"/>
        <v>0</v>
      </c>
      <c r="H57" s="86">
        <f t="shared" si="27"/>
        <v>0</v>
      </c>
      <c r="I57" s="86">
        <f t="shared" si="27"/>
        <v>0</v>
      </c>
      <c r="J57" s="86">
        <f t="shared" si="27"/>
        <v>0</v>
      </c>
      <c r="K57" s="86">
        <f t="shared" si="27"/>
        <v>0</v>
      </c>
      <c r="L57" s="86">
        <f t="shared" si="27"/>
        <v>0</v>
      </c>
      <c r="M57" s="86">
        <f t="shared" si="27"/>
        <v>0</v>
      </c>
      <c r="N57" s="86">
        <f t="shared" si="27"/>
        <v>0</v>
      </c>
      <c r="O57" s="86">
        <f t="shared" si="27"/>
        <v>0</v>
      </c>
      <c r="P57" s="86">
        <f t="shared" si="27"/>
        <v>0</v>
      </c>
      <c r="Q57" s="45">
        <f t="shared" si="10"/>
        <v>0</v>
      </c>
    </row>
    <row r="58" spans="1:17" ht="12.75" hidden="1" customHeight="1" outlineLevel="1">
      <c r="A58" s="1"/>
      <c r="B58" s="1" t="str">
        <f>'3. Fixed Operating Expenses'!B29</f>
        <v>Travel</v>
      </c>
      <c r="C58" s="1"/>
      <c r="D58" s="37"/>
      <c r="E58" s="45">
        <f>'3. Fixed Operating Expenses'!J29/12</f>
        <v>0</v>
      </c>
      <c r="F58" s="86">
        <f t="shared" ref="F58:P58" si="28">E58</f>
        <v>0</v>
      </c>
      <c r="G58" s="86">
        <f t="shared" si="28"/>
        <v>0</v>
      </c>
      <c r="H58" s="86">
        <f t="shared" si="28"/>
        <v>0</v>
      </c>
      <c r="I58" s="86">
        <f t="shared" si="28"/>
        <v>0</v>
      </c>
      <c r="J58" s="86">
        <f t="shared" si="28"/>
        <v>0</v>
      </c>
      <c r="K58" s="86">
        <f t="shared" si="28"/>
        <v>0</v>
      </c>
      <c r="L58" s="86">
        <f t="shared" si="28"/>
        <v>0</v>
      </c>
      <c r="M58" s="86">
        <f t="shared" si="28"/>
        <v>0</v>
      </c>
      <c r="N58" s="86">
        <f t="shared" si="28"/>
        <v>0</v>
      </c>
      <c r="O58" s="86">
        <f t="shared" si="28"/>
        <v>0</v>
      </c>
      <c r="P58" s="86">
        <f t="shared" si="28"/>
        <v>0</v>
      </c>
      <c r="Q58" s="45">
        <f t="shared" si="10"/>
        <v>0</v>
      </c>
    </row>
    <row r="59" spans="1:17" ht="12.75" hidden="1" customHeight="1" outlineLevel="1" thickBot="1">
      <c r="A59" s="1"/>
      <c r="B59" s="1" t="str">
        <f>'3. Fixed Operating Expenses'!B30</f>
        <v>Utilities</v>
      </c>
      <c r="C59" s="1"/>
      <c r="D59" s="37"/>
      <c r="E59" s="49">
        <f>'3. Fixed Operating Expenses'!J30/12</f>
        <v>0</v>
      </c>
      <c r="F59" s="49">
        <f t="shared" ref="F59:P59" si="29">E59</f>
        <v>0</v>
      </c>
      <c r="G59" s="49">
        <f t="shared" si="29"/>
        <v>0</v>
      </c>
      <c r="H59" s="49">
        <f t="shared" si="29"/>
        <v>0</v>
      </c>
      <c r="I59" s="49">
        <f t="shared" si="29"/>
        <v>0</v>
      </c>
      <c r="J59" s="49">
        <f t="shared" si="29"/>
        <v>0</v>
      </c>
      <c r="K59" s="49">
        <f t="shared" si="29"/>
        <v>0</v>
      </c>
      <c r="L59" s="49">
        <f t="shared" si="29"/>
        <v>0</v>
      </c>
      <c r="M59" s="49">
        <f t="shared" si="29"/>
        <v>0</v>
      </c>
      <c r="N59" s="49">
        <f t="shared" si="29"/>
        <v>0</v>
      </c>
      <c r="O59" s="49">
        <f t="shared" si="29"/>
        <v>0</v>
      </c>
      <c r="P59" s="49">
        <f t="shared" si="29"/>
        <v>0</v>
      </c>
      <c r="Q59" s="49">
        <f t="shared" si="10"/>
        <v>0</v>
      </c>
    </row>
    <row r="60" spans="1:17" ht="12.75" customHeight="1" collapsed="1" thickBot="1">
      <c r="A60" s="1" t="s">
        <v>386</v>
      </c>
      <c r="B60" s="1"/>
      <c r="C60" s="1"/>
      <c r="D60" s="37"/>
      <c r="E60" s="57">
        <f t="shared" ref="E60:Q60" si="30">SUM(E40:E59)</f>
        <v>0</v>
      </c>
      <c r="F60" s="57">
        <f t="shared" si="30"/>
        <v>0</v>
      </c>
      <c r="G60" s="57">
        <f t="shared" si="30"/>
        <v>0</v>
      </c>
      <c r="H60" s="57">
        <f t="shared" si="30"/>
        <v>0</v>
      </c>
      <c r="I60" s="57">
        <f t="shared" si="30"/>
        <v>0</v>
      </c>
      <c r="J60" s="57">
        <f t="shared" si="30"/>
        <v>0</v>
      </c>
      <c r="K60" s="57">
        <f t="shared" si="30"/>
        <v>0</v>
      </c>
      <c r="L60" s="57">
        <f t="shared" si="30"/>
        <v>0</v>
      </c>
      <c r="M60" s="57">
        <f t="shared" si="30"/>
        <v>0</v>
      </c>
      <c r="N60" s="57">
        <f t="shared" si="30"/>
        <v>0</v>
      </c>
      <c r="O60" s="57">
        <f t="shared" si="30"/>
        <v>0</v>
      </c>
      <c r="P60" s="57">
        <f t="shared" si="30"/>
        <v>0</v>
      </c>
      <c r="Q60" s="57">
        <f t="shared" si="30"/>
        <v>0</v>
      </c>
    </row>
    <row r="61" spans="1:17" ht="12.75" customHeight="1" thickTop="1">
      <c r="A61" s="1" t="s">
        <v>385</v>
      </c>
      <c r="B61" s="1"/>
      <c r="C61" s="1"/>
      <c r="D61" s="37"/>
      <c r="E61" s="45">
        <f>+E60+E37</f>
        <v>0</v>
      </c>
      <c r="F61" s="45">
        <f t="shared" ref="F61:Q61" si="31">+F60+F37</f>
        <v>0</v>
      </c>
      <c r="G61" s="45">
        <f t="shared" si="31"/>
        <v>0</v>
      </c>
      <c r="H61" s="45">
        <f t="shared" si="31"/>
        <v>0</v>
      </c>
      <c r="I61" s="45">
        <f t="shared" si="31"/>
        <v>0</v>
      </c>
      <c r="J61" s="45">
        <f t="shared" si="31"/>
        <v>0</v>
      </c>
      <c r="K61" s="45">
        <f t="shared" si="31"/>
        <v>0</v>
      </c>
      <c r="L61" s="45">
        <f t="shared" si="31"/>
        <v>0</v>
      </c>
      <c r="M61" s="45">
        <f t="shared" si="31"/>
        <v>0</v>
      </c>
      <c r="N61" s="45">
        <f t="shared" si="31"/>
        <v>0</v>
      </c>
      <c r="O61" s="45">
        <f t="shared" si="31"/>
        <v>0</v>
      </c>
      <c r="P61" s="45">
        <f t="shared" si="31"/>
        <v>0</v>
      </c>
      <c r="Q61" s="45">
        <f t="shared" si="31"/>
        <v>0</v>
      </c>
    </row>
    <row r="62" spans="1:17" ht="12.75" customHeight="1">
      <c r="A62" s="1"/>
      <c r="B62" s="1"/>
      <c r="C62" s="1"/>
      <c r="D62" s="37"/>
      <c r="E62" s="45"/>
      <c r="F62" s="45"/>
      <c r="G62" s="45"/>
      <c r="H62" s="45"/>
      <c r="I62" s="45"/>
      <c r="J62" s="45"/>
      <c r="K62" s="45"/>
      <c r="L62" s="45"/>
      <c r="M62" s="45"/>
      <c r="N62" s="45"/>
      <c r="O62" s="45"/>
      <c r="P62" s="45"/>
      <c r="Q62" s="45"/>
    </row>
    <row r="63" spans="1:17" ht="12.75" customHeight="1" outlineLevel="1">
      <c r="A63" s="1" t="s">
        <v>325</v>
      </c>
      <c r="B63" s="1"/>
      <c r="C63" s="1"/>
      <c r="D63" s="37"/>
      <c r="E63" s="45"/>
      <c r="F63" s="45"/>
      <c r="G63" s="45"/>
      <c r="H63" s="45"/>
      <c r="I63" s="45"/>
      <c r="J63" s="45"/>
      <c r="K63" s="45"/>
      <c r="L63" s="45"/>
      <c r="M63" s="45"/>
      <c r="N63" s="45"/>
      <c r="O63" s="45"/>
      <c r="P63" s="45"/>
      <c r="Q63" s="45"/>
    </row>
    <row r="64" spans="1:17" ht="12.75" customHeight="1" outlineLevel="1">
      <c r="A64" s="1"/>
      <c r="B64" s="1" t="s">
        <v>89</v>
      </c>
      <c r="C64" s="1"/>
      <c r="D64" s="37"/>
      <c r="E64" s="45">
        <f>IF('6. Cash Receipts-Disbursements'!$G$28&gt;1,'6. Cash Receipts-Disbursements'!$K$28,0)</f>
        <v>0</v>
      </c>
      <c r="F64" s="45">
        <f>IF('6. Cash Receipts-Disbursements'!$G$28&gt;1,'6. Cash Receipts-Disbursements'!$K$28,0)</f>
        <v>0</v>
      </c>
      <c r="G64" s="45">
        <f>IF('6. Cash Receipts-Disbursements'!$G$28&gt;1,'6. Cash Receipts-Disbursements'!$K$28,0)</f>
        <v>0</v>
      </c>
      <c r="H64" s="45">
        <f>IF('6. Cash Receipts-Disbursements'!$G$28&gt;1,'6. Cash Receipts-Disbursements'!$K$28,0)</f>
        <v>0</v>
      </c>
      <c r="I64" s="45">
        <f>IF('6. Cash Receipts-Disbursements'!$G$28&gt;1,'6. Cash Receipts-Disbursements'!$K$28,0)</f>
        <v>0</v>
      </c>
      <c r="J64" s="45">
        <f>IF('6. Cash Receipts-Disbursements'!$G$28&gt;1,'6. Cash Receipts-Disbursements'!$K$28,0)</f>
        <v>0</v>
      </c>
      <c r="K64" s="45">
        <f>IF('6. Cash Receipts-Disbursements'!$G$28&gt;1,'6. Cash Receipts-Disbursements'!$K$28,0)</f>
        <v>0</v>
      </c>
      <c r="L64" s="45">
        <f>IF('6. Cash Receipts-Disbursements'!$G$28&gt;1,'6. Cash Receipts-Disbursements'!$K$28,0)</f>
        <v>0</v>
      </c>
      <c r="M64" s="45">
        <f>IF('6. Cash Receipts-Disbursements'!$G$28&gt;1,'6. Cash Receipts-Disbursements'!$K$28,0)</f>
        <v>0</v>
      </c>
      <c r="N64" s="45">
        <f>IF('6. Cash Receipts-Disbursements'!$G$28&gt;1,'6. Cash Receipts-Disbursements'!$K$28,0)</f>
        <v>0</v>
      </c>
      <c r="O64" s="45">
        <f>IF('6. Cash Receipts-Disbursements'!$G$28&gt;1,'6. Cash Receipts-Disbursements'!$K$28,0)</f>
        <v>0</v>
      </c>
      <c r="P64" s="45">
        <f>IF('6. Cash Receipts-Disbursements'!$G$28&gt;1,'6. Cash Receipts-Disbursements'!$K$28,0)</f>
        <v>0</v>
      </c>
      <c r="Q64" s="45">
        <f>SUM(E64:P64)</f>
        <v>0</v>
      </c>
    </row>
    <row r="65" spans="1:17" ht="12.75" customHeight="1" outlineLevel="1">
      <c r="A65" s="1"/>
      <c r="B65" s="1" t="s">
        <v>249</v>
      </c>
      <c r="C65" s="1"/>
      <c r="D65" s="37"/>
      <c r="E65" s="45">
        <f>'3. Fixed Operating Expenses'!G34+E89</f>
        <v>0</v>
      </c>
      <c r="F65" s="45">
        <f t="shared" ref="F65:P65" si="32">E65</f>
        <v>0</v>
      </c>
      <c r="G65" s="45">
        <f t="shared" si="32"/>
        <v>0</v>
      </c>
      <c r="H65" s="45">
        <f t="shared" si="32"/>
        <v>0</v>
      </c>
      <c r="I65" s="45">
        <f t="shared" si="32"/>
        <v>0</v>
      </c>
      <c r="J65" s="45">
        <f t="shared" si="32"/>
        <v>0</v>
      </c>
      <c r="K65" s="45">
        <f t="shared" si="32"/>
        <v>0</v>
      </c>
      <c r="L65" s="45">
        <f t="shared" si="32"/>
        <v>0</v>
      </c>
      <c r="M65" s="45">
        <f t="shared" si="32"/>
        <v>0</v>
      </c>
      <c r="N65" s="45">
        <f t="shared" si="32"/>
        <v>0</v>
      </c>
      <c r="O65" s="45">
        <f t="shared" si="32"/>
        <v>0</v>
      </c>
      <c r="P65" s="45">
        <f t="shared" si="32"/>
        <v>0</v>
      </c>
      <c r="Q65" s="45">
        <f>SUM(E65:P65)</f>
        <v>0</v>
      </c>
    </row>
    <row r="66" spans="1:17" ht="12.75" customHeight="1" outlineLevel="1">
      <c r="A66" s="1"/>
      <c r="B66" s="1" t="s">
        <v>326</v>
      </c>
      <c r="C66" s="1"/>
      <c r="D66" s="37"/>
      <c r="E66" s="45"/>
      <c r="F66" s="45"/>
      <c r="G66" s="45"/>
      <c r="H66" s="45"/>
      <c r="I66" s="45"/>
      <c r="J66" s="45"/>
      <c r="K66" s="45"/>
      <c r="L66" s="45"/>
      <c r="M66" s="45"/>
      <c r="N66" s="45"/>
      <c r="O66" s="45"/>
      <c r="P66" s="45"/>
      <c r="Q66" s="45"/>
    </row>
    <row r="67" spans="1:17" ht="12.75" customHeight="1" outlineLevel="1">
      <c r="A67" s="1"/>
      <c r="B67" s="1"/>
      <c r="C67" s="1" t="s">
        <v>268</v>
      </c>
      <c r="D67" s="37"/>
      <c r="E67" s="45">
        <f>'20. Debt Amoritization Schedule'!G19</f>
        <v>0</v>
      </c>
      <c r="F67" s="45">
        <f>'20. Debt Amoritization Schedule'!H19</f>
        <v>0</v>
      </c>
      <c r="G67" s="45">
        <f>'20. Debt Amoritization Schedule'!I19</f>
        <v>0</v>
      </c>
      <c r="H67" s="45">
        <f>'20. Debt Amoritization Schedule'!J19</f>
        <v>0</v>
      </c>
      <c r="I67" s="45">
        <f>'20. Debt Amoritization Schedule'!K19</f>
        <v>0</v>
      </c>
      <c r="J67" s="45">
        <f>'20. Debt Amoritization Schedule'!L19</f>
        <v>0</v>
      </c>
      <c r="K67" s="45">
        <f>'20. Debt Amoritization Schedule'!M19</f>
        <v>0</v>
      </c>
      <c r="L67" s="45">
        <f>'20. Debt Amoritization Schedule'!N19</f>
        <v>0</v>
      </c>
      <c r="M67" s="45">
        <f>'20. Debt Amoritization Schedule'!O19</f>
        <v>0</v>
      </c>
      <c r="N67" s="45">
        <f>'20. Debt Amoritization Schedule'!P19</f>
        <v>0</v>
      </c>
      <c r="O67" s="45">
        <f>'20. Debt Amoritization Schedule'!Q19</f>
        <v>0</v>
      </c>
      <c r="P67" s="45">
        <f>'20. Debt Amoritization Schedule'!R19</f>
        <v>0</v>
      </c>
      <c r="Q67" s="45">
        <f t="shared" ref="Q67:Q73" si="33">SUM(E67:P67)</f>
        <v>0</v>
      </c>
    </row>
    <row r="68" spans="1:17" ht="12.75" customHeight="1" outlineLevel="1">
      <c r="A68" s="1"/>
      <c r="B68" s="1"/>
      <c r="C68" s="1" t="str">
        <f>+'1. Required Start-Up Funds'!C46</f>
        <v>Commercial Mortgage</v>
      </c>
      <c r="D68" s="37"/>
      <c r="E68" s="45">
        <f>'20. Debt Amoritization Schedule'!G39</f>
        <v>0</v>
      </c>
      <c r="F68" s="45">
        <f>'20. Debt Amoritization Schedule'!H39</f>
        <v>0</v>
      </c>
      <c r="G68" s="45">
        <f>'20. Debt Amoritization Schedule'!I39</f>
        <v>0</v>
      </c>
      <c r="H68" s="45">
        <f>'20. Debt Amoritization Schedule'!J39</f>
        <v>0</v>
      </c>
      <c r="I68" s="45">
        <f>'20. Debt Amoritization Schedule'!K39</f>
        <v>0</v>
      </c>
      <c r="J68" s="45">
        <f>'20. Debt Amoritization Schedule'!L39</f>
        <v>0</v>
      </c>
      <c r="K68" s="45">
        <f>'20. Debt Amoritization Schedule'!M39</f>
        <v>0</v>
      </c>
      <c r="L68" s="45">
        <f>'20. Debt Amoritization Schedule'!N39</f>
        <v>0</v>
      </c>
      <c r="M68" s="45">
        <f>'20. Debt Amoritization Schedule'!O39</f>
        <v>0</v>
      </c>
      <c r="N68" s="45">
        <f>'20. Debt Amoritization Schedule'!P39</f>
        <v>0</v>
      </c>
      <c r="O68" s="45">
        <f>'20. Debt Amoritization Schedule'!Q39</f>
        <v>0</v>
      </c>
      <c r="P68" s="45">
        <f>'20. Debt Amoritization Schedule'!R39</f>
        <v>0</v>
      </c>
      <c r="Q68" s="45">
        <f t="shared" si="33"/>
        <v>0</v>
      </c>
    </row>
    <row r="69" spans="1:17" ht="12.75" customHeight="1" outlineLevel="1">
      <c r="A69" s="1"/>
      <c r="B69" s="1"/>
      <c r="C69" s="1" t="s">
        <v>328</v>
      </c>
      <c r="D69" s="37"/>
      <c r="E69" s="45">
        <f>'13. Cash Flow Statement (2)'!E28</f>
        <v>0</v>
      </c>
      <c r="F69" s="45">
        <f>'13. Cash Flow Statement (2)'!F28</f>
        <v>0</v>
      </c>
      <c r="G69" s="45">
        <f>'13. Cash Flow Statement (2)'!G28</f>
        <v>0</v>
      </c>
      <c r="H69" s="45">
        <f>'13. Cash Flow Statement (2)'!H28</f>
        <v>0</v>
      </c>
      <c r="I69" s="45">
        <f>'13. Cash Flow Statement (2)'!I28</f>
        <v>0</v>
      </c>
      <c r="J69" s="45">
        <f>'13. Cash Flow Statement (2)'!J28</f>
        <v>0</v>
      </c>
      <c r="K69" s="45">
        <f>'13. Cash Flow Statement (2)'!K28</f>
        <v>0</v>
      </c>
      <c r="L69" s="45">
        <f>'13. Cash Flow Statement (2)'!L28</f>
        <v>0</v>
      </c>
      <c r="M69" s="45">
        <f>'13. Cash Flow Statement (2)'!M28</f>
        <v>0</v>
      </c>
      <c r="N69" s="45">
        <f>'13. Cash Flow Statement (2)'!N28</f>
        <v>0</v>
      </c>
      <c r="O69" s="45">
        <f>'13. Cash Flow Statement (2)'!O28</f>
        <v>0</v>
      </c>
      <c r="P69" s="45">
        <f>'13. Cash Flow Statement (2)'!P28</f>
        <v>0</v>
      </c>
      <c r="Q69" s="45">
        <f t="shared" si="33"/>
        <v>0</v>
      </c>
    </row>
    <row r="70" spans="1:17" ht="12.75" customHeight="1" outlineLevel="1">
      <c r="A70" s="1"/>
      <c r="B70" s="1"/>
      <c r="C70" s="1" t="str">
        <f>+'1. Required Start-Up Funds'!C47</f>
        <v>Credit Card Debt</v>
      </c>
      <c r="D70" s="23"/>
      <c r="E70" s="45">
        <f>'20. Debt Amoritization Schedule'!G59</f>
        <v>0</v>
      </c>
      <c r="F70" s="45">
        <f>'20. Debt Amoritization Schedule'!H59</f>
        <v>0</v>
      </c>
      <c r="G70" s="45">
        <f>'20. Debt Amoritization Schedule'!I59</f>
        <v>0</v>
      </c>
      <c r="H70" s="45">
        <f>'20. Debt Amoritization Schedule'!J59</f>
        <v>0</v>
      </c>
      <c r="I70" s="45">
        <f>'20. Debt Amoritization Schedule'!K59</f>
        <v>0</v>
      </c>
      <c r="J70" s="45">
        <f>'20. Debt Amoritization Schedule'!L59</f>
        <v>0</v>
      </c>
      <c r="K70" s="45">
        <f>'20. Debt Amoritization Schedule'!M59</f>
        <v>0</v>
      </c>
      <c r="L70" s="45">
        <f>'20. Debt Amoritization Schedule'!N59</f>
        <v>0</v>
      </c>
      <c r="M70" s="45">
        <f>'20. Debt Amoritization Schedule'!O59</f>
        <v>0</v>
      </c>
      <c r="N70" s="45">
        <f>'20. Debt Amoritization Schedule'!P59</f>
        <v>0</v>
      </c>
      <c r="O70" s="45">
        <f>'20. Debt Amoritization Schedule'!Q59</f>
        <v>0</v>
      </c>
      <c r="P70" s="45">
        <f>'20. Debt Amoritization Schedule'!R59</f>
        <v>0</v>
      </c>
      <c r="Q70" s="45">
        <f t="shared" si="33"/>
        <v>0</v>
      </c>
    </row>
    <row r="71" spans="1:17" ht="12.75" customHeight="1" outlineLevel="1">
      <c r="A71" s="1"/>
      <c r="B71" s="1"/>
      <c r="C71" s="1" t="str">
        <f>+'1. Required Start-Up Funds'!C48</f>
        <v>Vehicle Loans</v>
      </c>
      <c r="D71" s="23"/>
      <c r="E71" s="45">
        <f>'20. Debt Amoritization Schedule'!G79</f>
        <v>0</v>
      </c>
      <c r="F71" s="45">
        <f>'20. Debt Amoritization Schedule'!H79</f>
        <v>0</v>
      </c>
      <c r="G71" s="45">
        <f>'20. Debt Amoritization Schedule'!I79</f>
        <v>0</v>
      </c>
      <c r="H71" s="45">
        <f>'20. Debt Amoritization Schedule'!J79</f>
        <v>0</v>
      </c>
      <c r="I71" s="45">
        <f>'20. Debt Amoritization Schedule'!K79</f>
        <v>0</v>
      </c>
      <c r="J71" s="45">
        <f>'20. Debt Amoritization Schedule'!L79</f>
        <v>0</v>
      </c>
      <c r="K71" s="45">
        <f>'20. Debt Amoritization Schedule'!M79</f>
        <v>0</v>
      </c>
      <c r="L71" s="45">
        <f>'20. Debt Amoritization Schedule'!N79</f>
        <v>0</v>
      </c>
      <c r="M71" s="45">
        <f>'20. Debt Amoritization Schedule'!O79</f>
        <v>0</v>
      </c>
      <c r="N71" s="45">
        <f>'20. Debt Amoritization Schedule'!P79</f>
        <v>0</v>
      </c>
      <c r="O71" s="45">
        <f>'20. Debt Amoritization Schedule'!Q79</f>
        <v>0</v>
      </c>
      <c r="P71" s="45">
        <f>'20. Debt Amoritization Schedule'!R79</f>
        <v>0</v>
      </c>
      <c r="Q71" s="45">
        <f t="shared" si="33"/>
        <v>0</v>
      </c>
    </row>
    <row r="72" spans="1:17" ht="12.75" customHeight="1" outlineLevel="1">
      <c r="A72" s="1"/>
      <c r="B72" s="1"/>
      <c r="C72" s="1" t="str">
        <f>+'1. Required Start-Up Funds'!C44</f>
        <v>Other Debt</v>
      </c>
      <c r="D72" s="23"/>
      <c r="E72" s="45">
        <f>'20. Debt Amoritization Schedule'!G99</f>
        <v>0</v>
      </c>
      <c r="F72" s="45">
        <f>'20. Debt Amoritization Schedule'!H99</f>
        <v>0</v>
      </c>
      <c r="G72" s="45">
        <f>'20. Debt Amoritization Schedule'!I99</f>
        <v>0</v>
      </c>
      <c r="H72" s="45">
        <f>'20. Debt Amoritization Schedule'!J99</f>
        <v>0</v>
      </c>
      <c r="I72" s="45">
        <f>'20. Debt Amoritization Schedule'!K99</f>
        <v>0</v>
      </c>
      <c r="J72" s="45">
        <f>'20. Debt Amoritization Schedule'!L99</f>
        <v>0</v>
      </c>
      <c r="K72" s="45">
        <f>'20. Debt Amoritization Schedule'!M99</f>
        <v>0</v>
      </c>
      <c r="L72" s="45">
        <f>'20. Debt Amoritization Schedule'!N99</f>
        <v>0</v>
      </c>
      <c r="M72" s="45">
        <f>'20. Debt Amoritization Schedule'!O99</f>
        <v>0</v>
      </c>
      <c r="N72" s="45">
        <f>'20. Debt Amoritization Schedule'!P99</f>
        <v>0</v>
      </c>
      <c r="O72" s="45">
        <f>'20. Debt Amoritization Schedule'!Q99</f>
        <v>0</v>
      </c>
      <c r="P72" s="45">
        <f>'20. Debt Amoritization Schedule'!R99</f>
        <v>0</v>
      </c>
      <c r="Q72" s="45">
        <f t="shared" si="33"/>
        <v>0</v>
      </c>
    </row>
    <row r="73" spans="1:17" ht="12.75" customHeight="1" outlineLevel="1" thickBot="1">
      <c r="A73" s="1"/>
      <c r="B73" s="1" t="s">
        <v>188</v>
      </c>
      <c r="C73" s="1"/>
      <c r="D73" s="37"/>
      <c r="E73" s="49">
        <f>IF(E81&gt;0,E80*'6. Cash Receipts-Disbursements'!$G$25,0)</f>
        <v>0</v>
      </c>
      <c r="F73" s="49">
        <f>IF(F81&gt;0,F80*'6. Cash Receipts-Disbursements'!$G$25,0)</f>
        <v>0</v>
      </c>
      <c r="G73" s="49">
        <f>IF(G81&gt;0,G80*'6. Cash Receipts-Disbursements'!$G$25,0)</f>
        <v>0</v>
      </c>
      <c r="H73" s="49">
        <f>IF(H81&gt;0,H80*'6. Cash Receipts-Disbursements'!$G$25,0)</f>
        <v>0</v>
      </c>
      <c r="I73" s="49">
        <f>IF(I81&gt;0,I80*'6. Cash Receipts-Disbursements'!$G$25,0)</f>
        <v>0</v>
      </c>
      <c r="J73" s="49">
        <f>IF(J81&gt;0,J80*'6. Cash Receipts-Disbursements'!$G$25,0)</f>
        <v>0</v>
      </c>
      <c r="K73" s="49">
        <f>IF(K81&gt;0,K80*'6. Cash Receipts-Disbursements'!$G$25,0)</f>
        <v>0</v>
      </c>
      <c r="L73" s="49">
        <f>IF(L81&gt;0,L80*'6. Cash Receipts-Disbursements'!$G$25,0)</f>
        <v>0</v>
      </c>
      <c r="M73" s="49">
        <f>IF(M81&gt;0,M80*'6. Cash Receipts-Disbursements'!$G$25,0)</f>
        <v>0</v>
      </c>
      <c r="N73" s="49">
        <f>IF(N81&gt;0,N80*'6. Cash Receipts-Disbursements'!$G$25,0)</f>
        <v>0</v>
      </c>
      <c r="O73" s="49">
        <f>IF(O81&gt;0,O80*'6. Cash Receipts-Disbursements'!$G$25,0)</f>
        <v>0</v>
      </c>
      <c r="P73" s="49">
        <f>IF(P81&gt;0,P80*'6. Cash Receipts-Disbursements'!$G$25,0)</f>
        <v>0</v>
      </c>
      <c r="Q73" s="49">
        <f t="shared" si="33"/>
        <v>0</v>
      </c>
    </row>
    <row r="74" spans="1:17" ht="12.75" customHeight="1">
      <c r="A74" s="1" t="s">
        <v>327</v>
      </c>
      <c r="B74" s="1"/>
      <c r="C74" s="1"/>
      <c r="D74" s="37"/>
      <c r="E74" s="45">
        <f>SUM(E64:E73)</f>
        <v>0</v>
      </c>
      <c r="F74" s="45">
        <f t="shared" ref="F74:Q74" si="34">SUM(F64:F73)</f>
        <v>0</v>
      </c>
      <c r="G74" s="45">
        <f t="shared" si="34"/>
        <v>0</v>
      </c>
      <c r="H74" s="45">
        <f t="shared" si="34"/>
        <v>0</v>
      </c>
      <c r="I74" s="45">
        <f t="shared" si="34"/>
        <v>0</v>
      </c>
      <c r="J74" s="45">
        <f t="shared" si="34"/>
        <v>0</v>
      </c>
      <c r="K74" s="45">
        <f t="shared" si="34"/>
        <v>0</v>
      </c>
      <c r="L74" s="45">
        <f t="shared" si="34"/>
        <v>0</v>
      </c>
      <c r="M74" s="45">
        <f t="shared" si="34"/>
        <v>0</v>
      </c>
      <c r="N74" s="45">
        <f t="shared" si="34"/>
        <v>0</v>
      </c>
      <c r="O74" s="45">
        <f t="shared" si="34"/>
        <v>0</v>
      </c>
      <c r="P74" s="45">
        <f t="shared" si="34"/>
        <v>0</v>
      </c>
      <c r="Q74" s="45">
        <f t="shared" si="34"/>
        <v>0</v>
      </c>
    </row>
    <row r="75" spans="1:17" ht="12.75" customHeight="1" thickBot="1">
      <c r="A75" s="1"/>
      <c r="B75" s="1"/>
      <c r="C75" s="1"/>
      <c r="D75" s="37"/>
      <c r="E75" s="49"/>
      <c r="F75" s="49"/>
      <c r="G75" s="49"/>
      <c r="H75" s="49"/>
      <c r="I75" s="49"/>
      <c r="J75" s="49"/>
      <c r="K75" s="49"/>
      <c r="L75" s="49"/>
      <c r="M75" s="49"/>
      <c r="N75" s="49"/>
      <c r="O75" s="49"/>
      <c r="P75" s="49"/>
      <c r="Q75" s="49"/>
    </row>
    <row r="76" spans="1:17" ht="15.75" customHeight="1" thickBot="1">
      <c r="A76" s="1" t="s">
        <v>175</v>
      </c>
      <c r="B76" s="1"/>
      <c r="C76" s="1"/>
      <c r="D76" s="37"/>
      <c r="E76" s="90">
        <f t="shared" ref="E76:Q76" si="35">E28-E37-E60-E74</f>
        <v>0</v>
      </c>
      <c r="F76" s="90">
        <f t="shared" si="35"/>
        <v>0</v>
      </c>
      <c r="G76" s="90">
        <f t="shared" si="35"/>
        <v>0</v>
      </c>
      <c r="H76" s="90">
        <f t="shared" si="35"/>
        <v>0</v>
      </c>
      <c r="I76" s="90">
        <f t="shared" si="35"/>
        <v>0</v>
      </c>
      <c r="J76" s="90">
        <f t="shared" si="35"/>
        <v>0</v>
      </c>
      <c r="K76" s="90">
        <f t="shared" si="35"/>
        <v>0</v>
      </c>
      <c r="L76" s="90">
        <f t="shared" si="35"/>
        <v>0</v>
      </c>
      <c r="M76" s="90">
        <f t="shared" si="35"/>
        <v>0</v>
      </c>
      <c r="N76" s="90">
        <f t="shared" si="35"/>
        <v>0</v>
      </c>
      <c r="O76" s="90">
        <f t="shared" si="35"/>
        <v>0</v>
      </c>
      <c r="P76" s="90">
        <f t="shared" si="35"/>
        <v>0</v>
      </c>
      <c r="Q76" s="90">
        <f t="shared" si="35"/>
        <v>0</v>
      </c>
    </row>
    <row r="77" spans="1:17" ht="12.75" customHeight="1" thickTop="1">
      <c r="A77" s="1"/>
      <c r="B77" s="1"/>
      <c r="C77" s="1"/>
      <c r="D77" s="37"/>
      <c r="E77" s="37"/>
      <c r="F77" s="37"/>
      <c r="G77" s="37"/>
      <c r="H77" s="37"/>
      <c r="I77" s="37"/>
      <c r="J77" s="37"/>
      <c r="K77" s="37"/>
      <c r="L77" s="37"/>
      <c r="M77" s="37"/>
      <c r="N77" s="37"/>
      <c r="O77" s="37"/>
      <c r="P77" s="37"/>
      <c r="Q77" s="37"/>
    </row>
    <row r="78" spans="1:17" s="175" customFormat="1" ht="12.75" customHeight="1">
      <c r="A78" s="269" t="str">
        <f>IF(SUM(E78:P78)&gt;0,"Additional Funding Line of Credit Balance","")</f>
        <v/>
      </c>
      <c r="B78" s="269"/>
      <c r="C78" s="269"/>
      <c r="D78" s="45"/>
      <c r="E78" s="45" t="str">
        <f>IF('13. Cash Flow Statement (2)'!E42&gt;0,'13. Cash Flow Statement (2)'!E42,"")</f>
        <v/>
      </c>
      <c r="F78" s="45" t="str">
        <f>IF('13. Cash Flow Statement (2)'!F42&gt;0,'13. Cash Flow Statement (2)'!F42,"")</f>
        <v/>
      </c>
      <c r="G78" s="45" t="str">
        <f>IF('13. Cash Flow Statement (2)'!G42&gt;0,'13. Cash Flow Statement (2)'!G42,"")</f>
        <v/>
      </c>
      <c r="H78" s="45" t="str">
        <f>IF('13. Cash Flow Statement (2)'!H42&gt;0,'13. Cash Flow Statement (2)'!H42,"")</f>
        <v/>
      </c>
      <c r="I78" s="45" t="str">
        <f>IF('13. Cash Flow Statement (2)'!I42&gt;0,'13. Cash Flow Statement (2)'!I42,"")</f>
        <v/>
      </c>
      <c r="J78" s="45" t="str">
        <f>IF('13. Cash Flow Statement (2)'!J42&gt;0,'13. Cash Flow Statement (2)'!J42,"")</f>
        <v/>
      </c>
      <c r="K78" s="45" t="str">
        <f>IF('13. Cash Flow Statement (2)'!K42&gt;0,'13. Cash Flow Statement (2)'!K42,"")</f>
        <v/>
      </c>
      <c r="L78" s="45" t="str">
        <f>IF('13. Cash Flow Statement (2)'!L42&gt;0,'13. Cash Flow Statement (2)'!L42,"")</f>
        <v/>
      </c>
      <c r="M78" s="45" t="str">
        <f>IF('13. Cash Flow Statement (2)'!M42&gt;0,'13. Cash Flow Statement (2)'!M42,"")</f>
        <v/>
      </c>
      <c r="N78" s="45" t="str">
        <f>IF('13. Cash Flow Statement (2)'!N42&gt;0,'13. Cash Flow Statement (2)'!N42,"")</f>
        <v/>
      </c>
      <c r="O78" s="45" t="str">
        <f>IF('13. Cash Flow Statement (2)'!O42&gt;0,'13. Cash Flow Statement (2)'!O42,"")</f>
        <v/>
      </c>
      <c r="P78" s="45" t="str">
        <f>IF('13. Cash Flow Statement (2)'!P42&gt;0,'13. Cash Flow Statement (2)'!P42,"")</f>
        <v/>
      </c>
      <c r="Q78" s="45"/>
    </row>
    <row r="79" spans="1:17" ht="12.75" customHeight="1">
      <c r="A79" s="1"/>
      <c r="B79" s="1"/>
      <c r="C79" s="1"/>
      <c r="D79" s="37"/>
      <c r="E79" s="37"/>
      <c r="F79" s="37"/>
      <c r="G79" s="37"/>
      <c r="H79" s="37"/>
      <c r="I79" s="37"/>
      <c r="J79" s="37"/>
      <c r="K79" s="37"/>
      <c r="L79" s="37"/>
      <c r="M79" s="37"/>
      <c r="N79" s="37"/>
      <c r="O79" s="37"/>
      <c r="P79" s="37"/>
      <c r="Q79" s="37"/>
    </row>
    <row r="80" spans="1:17" s="356" customFormat="1" ht="12.75" customHeight="1">
      <c r="A80" s="334" t="s">
        <v>401</v>
      </c>
      <c r="B80" s="334"/>
      <c r="C80" s="334"/>
      <c r="E80" s="355">
        <f>E28-E37-E60-E64-E65-E67-E68-E69-E70-E71-E72</f>
        <v>0</v>
      </c>
      <c r="F80" s="355">
        <f t="shared" ref="F80:P80" si="36">F28-F37-F60-F64-F65-F67-F68-F69-F70-F71-F72</f>
        <v>0</v>
      </c>
      <c r="G80" s="355">
        <f t="shared" si="36"/>
        <v>0</v>
      </c>
      <c r="H80" s="355">
        <f t="shared" si="36"/>
        <v>0</v>
      </c>
      <c r="I80" s="355">
        <f t="shared" si="36"/>
        <v>0</v>
      </c>
      <c r="J80" s="355">
        <f t="shared" si="36"/>
        <v>0</v>
      </c>
      <c r="K80" s="355">
        <f t="shared" si="36"/>
        <v>0</v>
      </c>
      <c r="L80" s="355">
        <f t="shared" si="36"/>
        <v>0</v>
      </c>
      <c r="M80" s="355">
        <f t="shared" si="36"/>
        <v>0</v>
      </c>
      <c r="N80" s="355">
        <f t="shared" si="36"/>
        <v>0</v>
      </c>
      <c r="O80" s="355">
        <f t="shared" si="36"/>
        <v>0</v>
      </c>
      <c r="P80" s="355">
        <f t="shared" si="36"/>
        <v>0</v>
      </c>
    </row>
    <row r="81" spans="1:17" s="356" customFormat="1" ht="12.75" customHeight="1">
      <c r="A81" s="334" t="s">
        <v>402</v>
      </c>
      <c r="B81" s="334"/>
      <c r="C81" s="334"/>
      <c r="E81" s="355">
        <f>E80+'8. Income Statement'!P81</f>
        <v>0</v>
      </c>
      <c r="F81" s="355">
        <f>+E81+F80</f>
        <v>0</v>
      </c>
      <c r="G81" s="355">
        <f t="shared" ref="G81:P81" si="37">+F81+G80</f>
        <v>0</v>
      </c>
      <c r="H81" s="355">
        <f t="shared" si="37"/>
        <v>0</v>
      </c>
      <c r="I81" s="355">
        <f t="shared" si="37"/>
        <v>0</v>
      </c>
      <c r="J81" s="355">
        <f t="shared" si="37"/>
        <v>0</v>
      </c>
      <c r="K81" s="355">
        <f t="shared" si="37"/>
        <v>0</v>
      </c>
      <c r="L81" s="355">
        <f t="shared" si="37"/>
        <v>0</v>
      </c>
      <c r="M81" s="355">
        <f t="shared" si="37"/>
        <v>0</v>
      </c>
      <c r="N81" s="355">
        <f t="shared" si="37"/>
        <v>0</v>
      </c>
      <c r="O81" s="355">
        <f t="shared" si="37"/>
        <v>0</v>
      </c>
      <c r="P81" s="355">
        <f t="shared" si="37"/>
        <v>0</v>
      </c>
    </row>
    <row r="82" spans="1:17" ht="12.75" customHeight="1">
      <c r="P82" s="21"/>
      <c r="Q82" s="21"/>
    </row>
    <row r="83" spans="1:17" ht="12.75" customHeight="1"/>
    <row r="84" spans="1:17" ht="12.75" customHeight="1"/>
    <row r="85" spans="1:17" ht="12.75" customHeight="1"/>
    <row r="86" spans="1:17" ht="12.75" customHeight="1"/>
    <row r="87" spans="1:17" ht="12.75" customHeight="1"/>
    <row r="88" spans="1:17" ht="12.75" customHeight="1">
      <c r="A88" s="6" t="s">
        <v>74</v>
      </c>
    </row>
    <row r="89" spans="1:17" ht="12.75" customHeight="1">
      <c r="B89" s="6" t="s">
        <v>249</v>
      </c>
      <c r="E89" s="175">
        <f>IF('1. Required Start-Up Funds'!G9&gt;0,'1. Required Start-Up Funds'!G9/'1. Required Start-Up Funds'!J9/12)+IF('1. Required Start-Up Funds'!G10&gt;0,'1. Required Start-Up Funds'!G10/'1. Required Start-Up Funds'!J10/12)+IF('1. Required Start-Up Funds'!G11&gt;0,'1. Required Start-Up Funds'!G11/'1. Required Start-Up Funds'!J11/12)+IF('1. Required Start-Up Funds'!G12&gt;0,'1. Required Start-Up Funds'!G12/'1. Required Start-Up Funds'!J12/12)*IF('1. Required Start-Up Funds'!G13&gt;0,'1. Required Start-Up Funds'!G13/'1. Required Start-Up Funds'!J13/12)+IF('1. Required Start-Up Funds'!G14&gt;0,'1. Required Start-Up Funds'!G14/'1. Required Start-Up Funds'!J14/12)</f>
        <v>0</v>
      </c>
      <c r="F89" s="175">
        <f>+E89</f>
        <v>0</v>
      </c>
      <c r="G89" s="175">
        <f t="shared" ref="G89:P89" si="38">+F89</f>
        <v>0</v>
      </c>
      <c r="H89" s="175">
        <f t="shared" si="38"/>
        <v>0</v>
      </c>
      <c r="I89" s="175">
        <f t="shared" si="38"/>
        <v>0</v>
      </c>
      <c r="J89" s="175">
        <f t="shared" si="38"/>
        <v>0</v>
      </c>
      <c r="K89" s="175">
        <f t="shared" si="38"/>
        <v>0</v>
      </c>
      <c r="L89" s="175">
        <f t="shared" si="38"/>
        <v>0</v>
      </c>
      <c r="M89" s="175">
        <f t="shared" si="38"/>
        <v>0</v>
      </c>
      <c r="N89" s="175">
        <f t="shared" si="38"/>
        <v>0</v>
      </c>
      <c r="O89" s="175">
        <f t="shared" si="38"/>
        <v>0</v>
      </c>
      <c r="P89" s="175">
        <f t="shared" si="38"/>
        <v>0</v>
      </c>
    </row>
    <row r="90" spans="1:17" ht="12.75" customHeight="1"/>
    <row r="91" spans="1:17" ht="12.75" customHeight="1"/>
    <row r="92" spans="1:17" ht="12.75" customHeight="1"/>
    <row r="93" spans="1:17" ht="12.75" customHeight="1"/>
    <row r="94" spans="1:17" ht="12.75" customHeight="1"/>
    <row r="95" spans="1:17" ht="12.75" customHeight="1"/>
    <row r="96" spans="1:17" ht="12.75" customHeight="1"/>
    <row r="97" ht="12.75" customHeight="1"/>
    <row r="98" ht="12.75" customHeight="1"/>
    <row r="99" ht="12.75" customHeight="1"/>
  </sheetData>
  <phoneticPr fontId="4" type="noConversion"/>
  <pageMargins left="0.75" right="0.75" top="1" bottom="0.75" header="0.5" footer="0.5"/>
  <pageSetup scale="75" orientation="landscape" horizontalDpi="300"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39997558519241921"/>
  </sheetPr>
  <dimension ref="A1:Q90"/>
  <sheetViews>
    <sheetView showGridLines="0" zoomScale="90" zoomScaleNormal="90" workbookViewId="0">
      <pane ySplit="6" topLeftCell="A16" activePane="bottomLeft" state="frozen"/>
      <selection pane="bottomLeft" activeCell="F28" sqref="F28"/>
    </sheetView>
  </sheetViews>
  <sheetFormatPr defaultColWidth="8.85546875" defaultRowHeight="12"/>
  <cols>
    <col min="1" max="3" width="3" style="6" customWidth="1"/>
    <col min="4" max="4" width="36.28515625" customWidth="1"/>
    <col min="5" max="16" width="10.85546875" customWidth="1"/>
    <col min="17" max="17" width="15.85546875" customWidth="1"/>
  </cols>
  <sheetData>
    <row r="1" spans="1:17" ht="15.75">
      <c r="A1" s="5" t="str">
        <f>'1. Required Start-Up Funds'!A1</f>
        <v xml:space="preserve"> </v>
      </c>
    </row>
    <row r="2" spans="1:17" ht="15.75">
      <c r="A2" s="5" t="s">
        <v>41</v>
      </c>
    </row>
    <row r="3" spans="1:17" ht="12.75" customHeight="1">
      <c r="A3" s="1"/>
      <c r="B3" s="1"/>
      <c r="C3" s="1"/>
      <c r="D3" s="37"/>
      <c r="E3" s="37"/>
      <c r="F3" s="37"/>
      <c r="G3" s="37"/>
      <c r="H3" s="37"/>
      <c r="I3" s="37"/>
      <c r="J3" s="37"/>
      <c r="K3" s="37"/>
      <c r="L3" s="37"/>
      <c r="M3" s="37"/>
      <c r="N3" s="37"/>
      <c r="O3" s="37"/>
      <c r="P3" s="37"/>
      <c r="Q3" s="37"/>
    </row>
    <row r="4" spans="1:17" ht="12.75" customHeight="1">
      <c r="A4" s="1"/>
      <c r="B4" s="1"/>
      <c r="C4" s="1"/>
      <c r="D4" s="37"/>
      <c r="E4" s="37"/>
      <c r="F4" s="37"/>
      <c r="G4" s="37"/>
      <c r="H4" s="37"/>
      <c r="I4" s="37"/>
      <c r="J4" s="37"/>
      <c r="K4" s="37"/>
      <c r="L4" s="37"/>
      <c r="M4" s="37"/>
      <c r="N4" s="37"/>
      <c r="O4" s="37"/>
      <c r="P4" s="37"/>
      <c r="Q4" s="37"/>
    </row>
    <row r="5" spans="1:17" ht="12.75" customHeight="1">
      <c r="A5" s="1"/>
      <c r="B5" s="1"/>
      <c r="C5" s="1"/>
      <c r="D5" s="37"/>
      <c r="E5" s="37"/>
      <c r="F5" s="37"/>
      <c r="G5" s="37"/>
      <c r="H5" s="37"/>
      <c r="I5" s="37"/>
      <c r="J5" s="37"/>
      <c r="K5" s="37"/>
      <c r="L5" s="37"/>
      <c r="M5" s="37"/>
      <c r="N5" s="37"/>
      <c r="O5" s="37"/>
      <c r="P5" s="37"/>
      <c r="Q5" s="37"/>
    </row>
    <row r="6" spans="1:17" ht="12.75" customHeight="1" thickBot="1">
      <c r="A6" s="1"/>
      <c r="B6" s="1"/>
      <c r="C6" s="1"/>
      <c r="D6" s="37"/>
      <c r="E6" s="40">
        <f>'4a.Prod 1-6 Unit Sales Forecast'!H6</f>
        <v>1</v>
      </c>
      <c r="F6" s="40">
        <f>'4a.Prod 1-6 Unit Sales Forecast'!I6</f>
        <v>2</v>
      </c>
      <c r="G6" s="40">
        <f>'4a.Prod 1-6 Unit Sales Forecast'!J6</f>
        <v>3</v>
      </c>
      <c r="H6" s="40">
        <f>'4a.Prod 1-6 Unit Sales Forecast'!K6</f>
        <v>4</v>
      </c>
      <c r="I6" s="40">
        <f>'4a.Prod 1-6 Unit Sales Forecast'!L6</f>
        <v>5</v>
      </c>
      <c r="J6" s="40">
        <f>'4a.Prod 1-6 Unit Sales Forecast'!M6</f>
        <v>6</v>
      </c>
      <c r="K6" s="40">
        <f>'4a.Prod 1-6 Unit Sales Forecast'!N6</f>
        <v>7</v>
      </c>
      <c r="L6" s="40">
        <f>'4a.Prod 1-6 Unit Sales Forecast'!O6</f>
        <v>8</v>
      </c>
      <c r="M6" s="40">
        <f>'4a.Prod 1-6 Unit Sales Forecast'!P6</f>
        <v>9</v>
      </c>
      <c r="N6" s="40">
        <f>'4a.Prod 1-6 Unit Sales Forecast'!Q6</f>
        <v>10</v>
      </c>
      <c r="O6" s="40">
        <f>'4a.Prod 1-6 Unit Sales Forecast'!R6</f>
        <v>11</v>
      </c>
      <c r="P6" s="40">
        <f>'4a.Prod 1-6 Unit Sales Forecast'!S6</f>
        <v>12</v>
      </c>
      <c r="Q6" s="40" t="s">
        <v>248</v>
      </c>
    </row>
    <row r="7" spans="1:17" ht="12.75" customHeight="1" thickTop="1">
      <c r="A7" s="85"/>
      <c r="B7" s="85"/>
      <c r="C7" s="85"/>
      <c r="D7" s="82"/>
      <c r="E7" s="82"/>
      <c r="F7" s="82"/>
      <c r="G7" s="82"/>
      <c r="H7" s="82"/>
      <c r="I7" s="82"/>
      <c r="J7" s="82"/>
      <c r="K7" s="82"/>
      <c r="L7" s="82"/>
      <c r="M7" s="82"/>
      <c r="N7" s="82"/>
      <c r="O7" s="82"/>
      <c r="P7" s="82"/>
      <c r="Q7" s="82"/>
    </row>
    <row r="8" spans="1:17" ht="12.75" customHeight="1">
      <c r="A8" s="85" t="s">
        <v>176</v>
      </c>
      <c r="B8" s="85"/>
      <c r="C8" s="85"/>
      <c r="D8" s="82"/>
      <c r="E8" s="86">
        <f>'9. Cash Flow Statement'!P39</f>
        <v>0</v>
      </c>
      <c r="F8" s="86">
        <f t="shared" ref="F8:P8" si="0">E39</f>
        <v>0</v>
      </c>
      <c r="G8" s="86">
        <f t="shared" si="0"/>
        <v>0</v>
      </c>
      <c r="H8" s="86">
        <f t="shared" si="0"/>
        <v>0</v>
      </c>
      <c r="I8" s="86">
        <f t="shared" si="0"/>
        <v>0</v>
      </c>
      <c r="J8" s="86">
        <f t="shared" si="0"/>
        <v>0</v>
      </c>
      <c r="K8" s="86">
        <f t="shared" si="0"/>
        <v>0</v>
      </c>
      <c r="L8" s="86">
        <f t="shared" si="0"/>
        <v>0</v>
      </c>
      <c r="M8" s="86">
        <f t="shared" si="0"/>
        <v>0</v>
      </c>
      <c r="N8" s="86">
        <f t="shared" si="0"/>
        <v>0</v>
      </c>
      <c r="O8" s="86">
        <f t="shared" si="0"/>
        <v>0</v>
      </c>
      <c r="P8" s="86">
        <f t="shared" si="0"/>
        <v>0</v>
      </c>
      <c r="Q8" s="86"/>
    </row>
    <row r="9" spans="1:17" ht="12.75" customHeight="1">
      <c r="A9" s="85"/>
      <c r="B9" s="85"/>
      <c r="C9" s="85"/>
      <c r="D9" s="82"/>
      <c r="E9" s="86"/>
      <c r="F9" s="86"/>
      <c r="G9" s="86"/>
      <c r="H9" s="86"/>
      <c r="I9" s="86"/>
      <c r="J9" s="86"/>
      <c r="K9" s="86"/>
      <c r="L9" s="86"/>
      <c r="M9" s="86"/>
      <c r="N9" s="86"/>
      <c r="O9" s="86"/>
      <c r="P9" s="86"/>
      <c r="Q9" s="86"/>
    </row>
    <row r="10" spans="1:17" ht="12.75" customHeight="1">
      <c r="A10" s="85" t="s">
        <v>177</v>
      </c>
      <c r="B10" s="85"/>
      <c r="C10" s="85"/>
      <c r="D10" s="82"/>
      <c r="E10" s="86"/>
      <c r="F10" s="86"/>
      <c r="G10" s="86"/>
      <c r="H10" s="86"/>
      <c r="I10" s="86"/>
      <c r="J10" s="86"/>
      <c r="K10" s="86"/>
      <c r="L10" s="86"/>
      <c r="M10" s="86"/>
      <c r="N10" s="86"/>
      <c r="O10" s="86"/>
      <c r="P10" s="86"/>
      <c r="Q10" s="86"/>
    </row>
    <row r="11" spans="1:17" ht="12.75" customHeight="1">
      <c r="A11" s="85"/>
      <c r="B11" s="85" t="s">
        <v>178</v>
      </c>
      <c r="C11" s="85"/>
      <c r="D11" s="82"/>
      <c r="E11" s="86">
        <f>'12. Income Statement (2)'!E16*'6. Cash Receipts-Disbursements'!$G$8</f>
        <v>0</v>
      </c>
      <c r="F11" s="86">
        <f>'12. Income Statement (2)'!F16*'6. Cash Receipts-Disbursements'!$G$8</f>
        <v>0</v>
      </c>
      <c r="G11" s="86">
        <f>'12. Income Statement (2)'!G16*'6. Cash Receipts-Disbursements'!$G$8</f>
        <v>0</v>
      </c>
      <c r="H11" s="86">
        <f>'12. Income Statement (2)'!H16*'6. Cash Receipts-Disbursements'!$G$8</f>
        <v>0</v>
      </c>
      <c r="I11" s="86">
        <f>'12. Income Statement (2)'!I16*'6. Cash Receipts-Disbursements'!$G$8</f>
        <v>0</v>
      </c>
      <c r="J11" s="86">
        <f>'12. Income Statement (2)'!J16*'6. Cash Receipts-Disbursements'!$G$8</f>
        <v>0</v>
      </c>
      <c r="K11" s="86">
        <f>'12. Income Statement (2)'!K16*'6. Cash Receipts-Disbursements'!$G$8</f>
        <v>0</v>
      </c>
      <c r="L11" s="86">
        <f>'12. Income Statement (2)'!L16*'6. Cash Receipts-Disbursements'!$G$8</f>
        <v>0</v>
      </c>
      <c r="M11" s="86">
        <f>'12. Income Statement (2)'!M16*'6. Cash Receipts-Disbursements'!$G$8</f>
        <v>0</v>
      </c>
      <c r="N11" s="86">
        <f>'12. Income Statement (2)'!N16*'6. Cash Receipts-Disbursements'!$G$8</f>
        <v>0</v>
      </c>
      <c r="O11" s="86">
        <f>'12. Income Statement (2)'!O16*'6. Cash Receipts-Disbursements'!$G$8</f>
        <v>0</v>
      </c>
      <c r="P11" s="86">
        <f>'12. Income Statement (2)'!P16*'6. Cash Receipts-Disbursements'!$G$8</f>
        <v>0</v>
      </c>
      <c r="Q11" s="86">
        <f>SUM(E11:P11)</f>
        <v>0</v>
      </c>
    </row>
    <row r="12" spans="1:17" ht="12.75" customHeight="1">
      <c r="A12" s="85"/>
      <c r="B12" s="85" t="s">
        <v>179</v>
      </c>
      <c r="C12" s="85"/>
      <c r="D12" s="82"/>
      <c r="E12" s="86">
        <f>('8. Income Statement'!O16*'6. Cash Receipts-Disbursements'!G10)+('8. Income Statement'!P16*'6. Cash Receipts-Disbursements'!G9)</f>
        <v>0</v>
      </c>
      <c r="F12" s="86">
        <f>('8. Income Statement'!P16*'6. Cash Receipts-Disbursements'!G10)+('12. Income Statement (2)'!E16*'6. Cash Receipts-Disbursements'!G9)</f>
        <v>0</v>
      </c>
      <c r="G12" s="86">
        <f>('12. Income Statement (2)'!E16*'6. Cash Receipts-Disbursements'!$G$10)+('12. Income Statement (2)'!F16*'6. Cash Receipts-Disbursements'!$G$9)</f>
        <v>0</v>
      </c>
      <c r="H12" s="86">
        <f>('12. Income Statement (2)'!F16*'6. Cash Receipts-Disbursements'!$G$10)+('12. Income Statement (2)'!G16*'6. Cash Receipts-Disbursements'!$G$9)</f>
        <v>0</v>
      </c>
      <c r="I12" s="86">
        <f>('12. Income Statement (2)'!G16*'6. Cash Receipts-Disbursements'!$G$10)+('12. Income Statement (2)'!H16*'6. Cash Receipts-Disbursements'!$G$9)</f>
        <v>0</v>
      </c>
      <c r="J12" s="86">
        <f>('12. Income Statement (2)'!H16*'6. Cash Receipts-Disbursements'!$G$10)+('12. Income Statement (2)'!I16*'6. Cash Receipts-Disbursements'!$G$9)</f>
        <v>0</v>
      </c>
      <c r="K12" s="86">
        <f>('12. Income Statement (2)'!I16*'6. Cash Receipts-Disbursements'!$G$10)+('12. Income Statement (2)'!J16*'6. Cash Receipts-Disbursements'!$G$9)</f>
        <v>0</v>
      </c>
      <c r="L12" s="86">
        <f>('12. Income Statement (2)'!J16*'6. Cash Receipts-Disbursements'!$G$10)+('12. Income Statement (2)'!K16*'6. Cash Receipts-Disbursements'!$G$9)</f>
        <v>0</v>
      </c>
      <c r="M12" s="86">
        <f>('12. Income Statement (2)'!K16*'6. Cash Receipts-Disbursements'!$G$10)+('12. Income Statement (2)'!L16*'6. Cash Receipts-Disbursements'!$G$9)</f>
        <v>0</v>
      </c>
      <c r="N12" s="86">
        <f>('12. Income Statement (2)'!L16*'6. Cash Receipts-Disbursements'!$G$10)+('12. Income Statement (2)'!M16*'6. Cash Receipts-Disbursements'!$G$9)</f>
        <v>0</v>
      </c>
      <c r="O12" s="86">
        <f>('12. Income Statement (2)'!M16*'6. Cash Receipts-Disbursements'!$G$10)+('12. Income Statement (2)'!N16*'6. Cash Receipts-Disbursements'!$G$9)</f>
        <v>0</v>
      </c>
      <c r="P12" s="86">
        <f>('12. Income Statement (2)'!N16*'6. Cash Receipts-Disbursements'!$G$10)+('12. Income Statement (2)'!O16*'6. Cash Receipts-Disbursements'!$G$9)</f>
        <v>0</v>
      </c>
      <c r="Q12" s="86">
        <f>SUM(E12:P12)</f>
        <v>0</v>
      </c>
    </row>
    <row r="13" spans="1:17" ht="12.75" customHeight="1" thickBot="1">
      <c r="A13" s="85"/>
      <c r="B13" s="85" t="s">
        <v>73</v>
      </c>
      <c r="C13" s="85"/>
      <c r="D13" s="82"/>
      <c r="E13" s="400">
        <v>0</v>
      </c>
      <c r="F13" s="400">
        <v>0</v>
      </c>
      <c r="G13" s="400">
        <v>0</v>
      </c>
      <c r="H13" s="400">
        <v>0</v>
      </c>
      <c r="I13" s="400">
        <v>0</v>
      </c>
      <c r="J13" s="400">
        <v>0</v>
      </c>
      <c r="K13" s="400">
        <v>0</v>
      </c>
      <c r="L13" s="400">
        <v>0</v>
      </c>
      <c r="M13" s="400">
        <v>0</v>
      </c>
      <c r="N13" s="400">
        <v>0</v>
      </c>
      <c r="O13" s="400">
        <v>0</v>
      </c>
      <c r="P13" s="400">
        <v>0</v>
      </c>
      <c r="Q13" s="86">
        <f>SUM(E13:P13)</f>
        <v>0</v>
      </c>
    </row>
    <row r="14" spans="1:17" ht="12.75" customHeight="1">
      <c r="A14" s="85"/>
      <c r="B14" s="85"/>
      <c r="C14" s="85"/>
      <c r="D14" s="82"/>
      <c r="E14" s="86"/>
      <c r="F14" s="86"/>
      <c r="G14" s="86"/>
      <c r="H14" s="86"/>
      <c r="I14" s="86"/>
      <c r="J14" s="86"/>
      <c r="K14" s="86"/>
      <c r="L14" s="86"/>
      <c r="M14" s="86"/>
      <c r="N14" s="86"/>
      <c r="O14" s="86"/>
      <c r="P14" s="86"/>
      <c r="Q14" s="86"/>
    </row>
    <row r="15" spans="1:17" ht="12.75" customHeight="1">
      <c r="A15" s="85" t="s">
        <v>180</v>
      </c>
      <c r="B15" s="85"/>
      <c r="C15" s="85"/>
      <c r="D15" s="82"/>
      <c r="E15" s="86">
        <f>SUM(E11:E13)</f>
        <v>0</v>
      </c>
      <c r="F15" s="86">
        <f t="shared" ref="F15:P15" si="1">SUM(F11:F13)</f>
        <v>0</v>
      </c>
      <c r="G15" s="86">
        <f t="shared" si="1"/>
        <v>0</v>
      </c>
      <c r="H15" s="86">
        <f t="shared" si="1"/>
        <v>0</v>
      </c>
      <c r="I15" s="86">
        <f t="shared" si="1"/>
        <v>0</v>
      </c>
      <c r="J15" s="86">
        <f t="shared" si="1"/>
        <v>0</v>
      </c>
      <c r="K15" s="86">
        <f t="shared" si="1"/>
        <v>0</v>
      </c>
      <c r="L15" s="86">
        <f t="shared" si="1"/>
        <v>0</v>
      </c>
      <c r="M15" s="86">
        <f t="shared" si="1"/>
        <v>0</v>
      </c>
      <c r="N15" s="86">
        <f t="shared" si="1"/>
        <v>0</v>
      </c>
      <c r="O15" s="86">
        <f t="shared" si="1"/>
        <v>0</v>
      </c>
      <c r="P15" s="86">
        <f t="shared" si="1"/>
        <v>0</v>
      </c>
      <c r="Q15" s="86">
        <f>SUM(Q11:Q13)-Q13</f>
        <v>0</v>
      </c>
    </row>
    <row r="16" spans="1:17" ht="12.75" customHeight="1">
      <c r="A16" s="85"/>
      <c r="B16" s="85"/>
      <c r="C16" s="85"/>
      <c r="D16" s="82"/>
      <c r="E16" s="86"/>
      <c r="F16" s="86"/>
      <c r="G16" s="86"/>
      <c r="H16" s="86"/>
      <c r="I16" s="86"/>
      <c r="J16" s="86"/>
      <c r="K16" s="86"/>
      <c r="L16" s="86"/>
      <c r="M16" s="86"/>
      <c r="N16" s="86"/>
      <c r="O16" s="86"/>
      <c r="P16" s="86"/>
      <c r="Q16" s="86"/>
    </row>
    <row r="17" spans="1:17" ht="12.75" customHeight="1">
      <c r="A17" s="85" t="s">
        <v>181</v>
      </c>
      <c r="B17" s="85"/>
      <c r="C17" s="85"/>
      <c r="D17" s="82"/>
      <c r="E17" s="86"/>
      <c r="F17" s="86"/>
      <c r="G17" s="86"/>
      <c r="H17" s="86"/>
      <c r="I17" s="86"/>
      <c r="J17" s="86"/>
      <c r="K17" s="86"/>
      <c r="L17" s="86"/>
      <c r="M17" s="86"/>
      <c r="N17" s="86"/>
      <c r="O17" s="86"/>
      <c r="P17" s="86"/>
      <c r="Q17" s="86"/>
    </row>
    <row r="18" spans="1:17" ht="12.75" customHeight="1">
      <c r="A18" s="85"/>
      <c r="B18" s="1" t="s">
        <v>198</v>
      </c>
      <c r="C18" s="1"/>
      <c r="D18" s="82"/>
      <c r="E18" s="86"/>
      <c r="F18" s="86"/>
      <c r="G18" s="86"/>
      <c r="H18" s="86"/>
      <c r="I18" s="86"/>
      <c r="J18" s="86"/>
      <c r="K18" s="86"/>
      <c r="L18" s="86"/>
      <c r="M18" s="86"/>
      <c r="N18" s="86"/>
      <c r="O18" s="86"/>
      <c r="P18" s="86"/>
      <c r="Q18" s="86"/>
    </row>
    <row r="19" spans="1:17" ht="12.75" customHeight="1">
      <c r="A19" s="85"/>
      <c r="B19" s="1"/>
      <c r="C19" s="85" t="s">
        <v>107</v>
      </c>
      <c r="D19" s="82"/>
      <c r="E19" s="401">
        <f>SUM('1. Required Start-Up Funds'!G8:G14)</f>
        <v>0</v>
      </c>
      <c r="F19" s="401">
        <v>0</v>
      </c>
      <c r="G19" s="401">
        <v>0</v>
      </c>
      <c r="H19" s="401">
        <v>0</v>
      </c>
      <c r="I19" s="401">
        <v>0</v>
      </c>
      <c r="J19" s="401">
        <v>0</v>
      </c>
      <c r="K19" s="401">
        <v>0</v>
      </c>
      <c r="L19" s="401">
        <v>0</v>
      </c>
      <c r="M19" s="401">
        <v>0</v>
      </c>
      <c r="N19" s="401">
        <v>0</v>
      </c>
      <c r="O19" s="401">
        <v>0</v>
      </c>
      <c r="P19" s="401">
        <v>0</v>
      </c>
      <c r="Q19" s="86">
        <f>SUM(E19:P19)</f>
        <v>0</v>
      </c>
    </row>
    <row r="20" spans="1:17" ht="12.75" customHeight="1">
      <c r="A20" s="85"/>
      <c r="B20" s="1"/>
      <c r="C20" s="85" t="s">
        <v>109</v>
      </c>
      <c r="D20" s="82"/>
      <c r="E20" s="401">
        <f>+'1. Required Start-Up Funds'!G20</f>
        <v>0</v>
      </c>
      <c r="F20" s="401">
        <v>0</v>
      </c>
      <c r="G20" s="401">
        <v>0</v>
      </c>
      <c r="H20" s="401"/>
      <c r="I20" s="401"/>
      <c r="J20" s="401">
        <v>0</v>
      </c>
      <c r="K20" s="401"/>
      <c r="L20" s="401"/>
      <c r="M20" s="401"/>
      <c r="N20" s="401">
        <v>0</v>
      </c>
      <c r="O20" s="401"/>
      <c r="P20" s="401">
        <v>0</v>
      </c>
      <c r="Q20" s="86">
        <f>SUM(E20:P20)</f>
        <v>0</v>
      </c>
    </row>
    <row r="21" spans="1:17" ht="12.75" customHeight="1">
      <c r="A21" s="85"/>
      <c r="B21" s="85"/>
      <c r="C21" s="85" t="s">
        <v>170</v>
      </c>
      <c r="D21" s="82"/>
      <c r="E21" s="86">
        <f>('6. Cash Receipts-Disbursements'!G15*'12. Income Statement (2)'!E26)+('6. Cash Receipts-Disbursements'!G16*'8. Income Statement'!P26)+('6. Cash Receipts-Disbursements'!G17*'8. Income Statement'!O16)</f>
        <v>0</v>
      </c>
      <c r="F21" s="86">
        <f>('6. Cash Receipts-Disbursements'!G15*'12. Income Statement (2)'!F26)+('6. Cash Receipts-Disbursements'!G16*'12. Income Statement (2)'!E26)+('6. Cash Receipts-Disbursements'!G17*'8. Income Statement'!P26)</f>
        <v>0</v>
      </c>
      <c r="G21" s="86">
        <f>('6. Cash Receipts-Disbursements'!$G$15*'12. Income Statement (2)'!G26)+('6. Cash Receipts-Disbursements'!$G$16*'12. Income Statement (2)'!F26)+('6. Cash Receipts-Disbursements'!$G$17*'12. Income Statement (2)'!E26)</f>
        <v>0</v>
      </c>
      <c r="H21" s="86">
        <f>('6. Cash Receipts-Disbursements'!$G$15*'12. Income Statement (2)'!H26)+('6. Cash Receipts-Disbursements'!$G$16*'12. Income Statement (2)'!G26)+('6. Cash Receipts-Disbursements'!$G$17*'12. Income Statement (2)'!F26)</f>
        <v>0</v>
      </c>
      <c r="I21" s="86">
        <f>('6. Cash Receipts-Disbursements'!$G$15*'12. Income Statement (2)'!I26)+('6. Cash Receipts-Disbursements'!$G$16*'12. Income Statement (2)'!H26)+('6. Cash Receipts-Disbursements'!$G$17*'12. Income Statement (2)'!G26)</f>
        <v>0</v>
      </c>
      <c r="J21" s="86">
        <f>('6. Cash Receipts-Disbursements'!$G$15*'12. Income Statement (2)'!J26)+('6. Cash Receipts-Disbursements'!$G$16*'12. Income Statement (2)'!I26)+('6. Cash Receipts-Disbursements'!$G$17*'12. Income Statement (2)'!H26)</f>
        <v>0</v>
      </c>
      <c r="K21" s="86">
        <f>('6. Cash Receipts-Disbursements'!$G$15*'12. Income Statement (2)'!K26)+('6. Cash Receipts-Disbursements'!$G$16*'12. Income Statement (2)'!J26)+('6. Cash Receipts-Disbursements'!$G$17*'12. Income Statement (2)'!I26)</f>
        <v>0</v>
      </c>
      <c r="L21" s="86">
        <f>('6. Cash Receipts-Disbursements'!$G$15*'12. Income Statement (2)'!L26)+('6. Cash Receipts-Disbursements'!$G$16*'12. Income Statement (2)'!K26)+('6. Cash Receipts-Disbursements'!$G$17*'12. Income Statement (2)'!J26)</f>
        <v>0</v>
      </c>
      <c r="M21" s="86">
        <f>('6. Cash Receipts-Disbursements'!$G$15*'12. Income Statement (2)'!M26)+('6. Cash Receipts-Disbursements'!$G$16*'12. Income Statement (2)'!L26)+('6. Cash Receipts-Disbursements'!$G$17*'12. Income Statement (2)'!K26)</f>
        <v>0</v>
      </c>
      <c r="N21" s="86">
        <f>('6. Cash Receipts-Disbursements'!$G$15*'12. Income Statement (2)'!N26)+('6. Cash Receipts-Disbursements'!$G$16*'12. Income Statement (2)'!M26)+('6. Cash Receipts-Disbursements'!$G$17*'12. Income Statement (2)'!L26)</f>
        <v>0</v>
      </c>
      <c r="O21" s="86">
        <f>('6. Cash Receipts-Disbursements'!$G$15*'12. Income Statement (2)'!O26)+('6. Cash Receipts-Disbursements'!$G$16*'12. Income Statement (2)'!N26)+('6. Cash Receipts-Disbursements'!$G$17*'12. Income Statement (2)'!M26)</f>
        <v>0</v>
      </c>
      <c r="P21" s="86">
        <f>('6. Cash Receipts-Disbursements'!$G$15*'12. Income Statement (2)'!P26)+('6. Cash Receipts-Disbursements'!$G$16*'12. Income Statement (2)'!O26)+('6. Cash Receipts-Disbursements'!$G$17*'12. Income Statement (2)'!N26)</f>
        <v>0</v>
      </c>
      <c r="Q21" s="86">
        <f>SUM(E21:P21)</f>
        <v>0</v>
      </c>
    </row>
    <row r="22" spans="1:17" ht="12.75" customHeight="1">
      <c r="A22" s="85"/>
      <c r="B22" s="85" t="s">
        <v>182</v>
      </c>
      <c r="C22" s="85"/>
      <c r="D22" s="82"/>
      <c r="E22" s="86"/>
      <c r="F22" s="86"/>
      <c r="G22" s="86"/>
      <c r="H22" s="86"/>
      <c r="I22" s="86"/>
      <c r="J22" s="86"/>
      <c r="K22" s="86"/>
      <c r="L22" s="86"/>
      <c r="M22" s="86"/>
      <c r="N22" s="86"/>
      <c r="O22" s="86"/>
      <c r="P22" s="86"/>
      <c r="Q22" s="86"/>
    </row>
    <row r="23" spans="1:17" ht="12.75" customHeight="1">
      <c r="A23" s="85"/>
      <c r="B23" s="85"/>
      <c r="C23" s="85" t="str">
        <f>'8. Income Statement'!A30</f>
        <v>Salaries and Wages</v>
      </c>
      <c r="D23" s="82"/>
      <c r="E23" s="86">
        <f>'12. Income Statement (2)'!E37</f>
        <v>0</v>
      </c>
      <c r="F23" s="86">
        <f>'12. Income Statement (2)'!F37</f>
        <v>0</v>
      </c>
      <c r="G23" s="86">
        <f>'12. Income Statement (2)'!G37</f>
        <v>0</v>
      </c>
      <c r="H23" s="86">
        <f>'12. Income Statement (2)'!H37</f>
        <v>0</v>
      </c>
      <c r="I23" s="86">
        <f>'12. Income Statement (2)'!I37</f>
        <v>0</v>
      </c>
      <c r="J23" s="86">
        <f>'12. Income Statement (2)'!J37</f>
        <v>0</v>
      </c>
      <c r="K23" s="86">
        <f>'12. Income Statement (2)'!K37</f>
        <v>0</v>
      </c>
      <c r="L23" s="86">
        <f>'12. Income Statement (2)'!L37</f>
        <v>0</v>
      </c>
      <c r="M23" s="86">
        <f>'12. Income Statement (2)'!M37</f>
        <v>0</v>
      </c>
      <c r="N23" s="86">
        <f>'12. Income Statement (2)'!N37</f>
        <v>0</v>
      </c>
      <c r="O23" s="86">
        <f>'12. Income Statement (2)'!O37</f>
        <v>0</v>
      </c>
      <c r="P23" s="86">
        <f>'12. Income Statement (2)'!P37</f>
        <v>0</v>
      </c>
      <c r="Q23" s="86">
        <f t="shared" ref="Q23:Q30" si="2">SUM(E23:P23)</f>
        <v>0</v>
      </c>
    </row>
    <row r="24" spans="1:17" ht="12.75" customHeight="1">
      <c r="A24" s="85"/>
      <c r="B24" s="85"/>
      <c r="C24" s="85" t="str">
        <f>'8. Income Statement'!A39</f>
        <v>Fixed Operating Expenses</v>
      </c>
      <c r="D24" s="82"/>
      <c r="E24" s="86">
        <f>'12. Income Statement (2)'!E60</f>
        <v>0</v>
      </c>
      <c r="F24" s="86">
        <f>'12. Income Statement (2)'!F60</f>
        <v>0</v>
      </c>
      <c r="G24" s="86">
        <f>'12. Income Statement (2)'!G60</f>
        <v>0</v>
      </c>
      <c r="H24" s="86">
        <f>'12. Income Statement (2)'!H60</f>
        <v>0</v>
      </c>
      <c r="I24" s="86">
        <f>'12. Income Statement (2)'!I60</f>
        <v>0</v>
      </c>
      <c r="J24" s="86">
        <f>'12. Income Statement (2)'!J60</f>
        <v>0</v>
      </c>
      <c r="K24" s="86">
        <f>'12. Income Statement (2)'!K60</f>
        <v>0</v>
      </c>
      <c r="L24" s="86">
        <f>'12. Income Statement (2)'!L60</f>
        <v>0</v>
      </c>
      <c r="M24" s="86">
        <f>'12. Income Statement (2)'!M60</f>
        <v>0</v>
      </c>
      <c r="N24" s="86">
        <f>'12. Income Statement (2)'!N60</f>
        <v>0</v>
      </c>
      <c r="O24" s="86">
        <f>'12. Income Statement (2)'!O60</f>
        <v>0</v>
      </c>
      <c r="P24" s="86">
        <f>'12. Income Statement (2)'!P60</f>
        <v>0</v>
      </c>
      <c r="Q24" s="86">
        <f t="shared" si="2"/>
        <v>0</v>
      </c>
    </row>
    <row r="25" spans="1:17" ht="12.75" customHeight="1">
      <c r="A25" s="85"/>
      <c r="B25" s="85"/>
      <c r="C25" s="85" t="s">
        <v>188</v>
      </c>
      <c r="D25" s="82"/>
      <c r="E25" s="86">
        <v>0</v>
      </c>
      <c r="F25" s="86">
        <v>0</v>
      </c>
      <c r="G25" s="86">
        <f>SUM('12. Income Statement (2)'!E73:G73)</f>
        <v>0</v>
      </c>
      <c r="H25" s="86">
        <v>0</v>
      </c>
      <c r="I25" s="86">
        <v>0</v>
      </c>
      <c r="J25" s="86">
        <f>SUM('12. Income Statement (2)'!H73:J73)</f>
        <v>0</v>
      </c>
      <c r="K25" s="86">
        <v>0</v>
      </c>
      <c r="L25" s="86">
        <v>0</v>
      </c>
      <c r="M25" s="86">
        <f>SUM('12. Income Statement (2)'!K73:M73)</f>
        <v>0</v>
      </c>
      <c r="N25" s="86">
        <v>0</v>
      </c>
      <c r="O25" s="86">
        <v>0</v>
      </c>
      <c r="P25" s="86">
        <f>SUM('12. Income Statement (2)'!N73:P73)</f>
        <v>0</v>
      </c>
      <c r="Q25" s="86">
        <f t="shared" si="2"/>
        <v>0</v>
      </c>
    </row>
    <row r="26" spans="1:17" ht="12.75" customHeight="1">
      <c r="A26" s="85"/>
      <c r="B26" s="85" t="s">
        <v>183</v>
      </c>
      <c r="C26" s="85"/>
      <c r="D26" s="82"/>
      <c r="E26" s="86"/>
      <c r="F26" s="86"/>
      <c r="G26" s="86"/>
      <c r="H26" s="86"/>
      <c r="I26" s="86"/>
      <c r="J26" s="86"/>
      <c r="K26" s="86"/>
      <c r="L26" s="86"/>
      <c r="M26" s="86"/>
      <c r="N26" s="86"/>
      <c r="O26" s="86"/>
      <c r="P26" s="86"/>
      <c r="Q26" s="86">
        <f t="shared" si="2"/>
        <v>0</v>
      </c>
    </row>
    <row r="27" spans="1:17" ht="12.75" customHeight="1">
      <c r="A27" s="85"/>
      <c r="B27" s="85"/>
      <c r="C27" s="85" t="s">
        <v>184</v>
      </c>
      <c r="D27" s="82"/>
      <c r="E27" s="280">
        <f>+'1. Required Start-Up Funds'!$L$50-'1. Required Start-Up Funds'!$L$44+'20. Debt Amoritization Schedule'!G99+'20. Debt Amoritization Schedule'!G100</f>
        <v>0</v>
      </c>
      <c r="F27" s="280">
        <f>+'1. Required Start-Up Funds'!$L$50-'1. Required Start-Up Funds'!$L$44+'20. Debt Amoritization Schedule'!H99+'20. Debt Amoritization Schedule'!H100</f>
        <v>0</v>
      </c>
      <c r="G27" s="280">
        <f>+'1. Required Start-Up Funds'!$L$50-'1. Required Start-Up Funds'!$L$44+'20. Debt Amoritization Schedule'!I99+'20. Debt Amoritization Schedule'!I100</f>
        <v>0</v>
      </c>
      <c r="H27" s="280">
        <f>+'1. Required Start-Up Funds'!$L$50-'1. Required Start-Up Funds'!$L$44+'20. Debt Amoritization Schedule'!J99+'20. Debt Amoritization Schedule'!J100</f>
        <v>0</v>
      </c>
      <c r="I27" s="280">
        <f>+'1. Required Start-Up Funds'!$L$50-'1. Required Start-Up Funds'!$L$44+'20. Debt Amoritization Schedule'!K99+'20. Debt Amoritization Schedule'!K100</f>
        <v>0</v>
      </c>
      <c r="J27" s="280">
        <f>+'1. Required Start-Up Funds'!$L$50-'1. Required Start-Up Funds'!$L$44+'20. Debt Amoritization Schedule'!L99+'20. Debt Amoritization Schedule'!L100</f>
        <v>0</v>
      </c>
      <c r="K27" s="280">
        <f>+'1. Required Start-Up Funds'!$L$50-'1. Required Start-Up Funds'!$L$44+'20. Debt Amoritization Schedule'!M99+'20. Debt Amoritization Schedule'!M100</f>
        <v>0</v>
      </c>
      <c r="L27" s="280">
        <f>+'1. Required Start-Up Funds'!$L$50-'1. Required Start-Up Funds'!$L$44+'20. Debt Amoritization Schedule'!N99+'20. Debt Amoritization Schedule'!N100</f>
        <v>0</v>
      </c>
      <c r="M27" s="280">
        <f>+'1. Required Start-Up Funds'!$L$50-'1. Required Start-Up Funds'!$L$44+'20. Debt Amoritization Schedule'!O99+'20. Debt Amoritization Schedule'!O100</f>
        <v>0</v>
      </c>
      <c r="N27" s="280">
        <f>+'1. Required Start-Up Funds'!$L$50-'1. Required Start-Up Funds'!$L$44+'20. Debt Amoritization Schedule'!P99+'20. Debt Amoritization Schedule'!P100</f>
        <v>0</v>
      </c>
      <c r="O27" s="280">
        <f>+'1. Required Start-Up Funds'!$L$50-'1. Required Start-Up Funds'!$L$44+'20. Debt Amoritization Schedule'!Q99+'20. Debt Amoritization Schedule'!Q100</f>
        <v>0</v>
      </c>
      <c r="P27" s="280">
        <f>+'1. Required Start-Up Funds'!$L$50-'1. Required Start-Up Funds'!$L$44+'20. Debt Amoritization Schedule'!R99+'20. Debt Amoritization Schedule'!R100</f>
        <v>0</v>
      </c>
      <c r="Q27" s="86">
        <f t="shared" si="2"/>
        <v>0</v>
      </c>
    </row>
    <row r="28" spans="1:17" ht="12.75" customHeight="1">
      <c r="A28" s="85"/>
      <c r="B28" s="85"/>
      <c r="C28" s="85" t="s">
        <v>185</v>
      </c>
      <c r="D28" s="82"/>
      <c r="E28" s="86">
        <f>'6. Cash Receipts-Disbursements'!G22/12*'9. Cash Flow Statement'!P42</f>
        <v>0</v>
      </c>
      <c r="F28" s="86">
        <f>'6. Cash Receipts-Disbursements'!G22/12*'13. Cash Flow Statement (2)'!E42</f>
        <v>0</v>
      </c>
      <c r="G28" s="86">
        <f>('6. Cash Receipts-Disbursements'!$G$22/12)*F42</f>
        <v>0</v>
      </c>
      <c r="H28" s="86">
        <f>('6. Cash Receipts-Disbursements'!$G$22/12)*G42</f>
        <v>0</v>
      </c>
      <c r="I28" s="86">
        <f>('6. Cash Receipts-Disbursements'!$G$22/12)*H42</f>
        <v>0</v>
      </c>
      <c r="J28" s="86">
        <f>('6. Cash Receipts-Disbursements'!$G$22/12)*I42</f>
        <v>0</v>
      </c>
      <c r="K28" s="86">
        <f>('6. Cash Receipts-Disbursements'!$G$22/12)*J42</f>
        <v>0</v>
      </c>
      <c r="L28" s="86">
        <f>('6. Cash Receipts-Disbursements'!$G$22/12)*K42</f>
        <v>0</v>
      </c>
      <c r="M28" s="86">
        <f>('6. Cash Receipts-Disbursements'!$G$22/12)*L42</f>
        <v>0</v>
      </c>
      <c r="N28" s="86">
        <f>('6. Cash Receipts-Disbursements'!$G$22/12)*M42</f>
        <v>0</v>
      </c>
      <c r="O28" s="86">
        <f>('6. Cash Receipts-Disbursements'!$G$22/12)*N42</f>
        <v>0</v>
      </c>
      <c r="P28" s="86">
        <f>('6. Cash Receipts-Disbursements'!$G$22/12)*O42</f>
        <v>0</v>
      </c>
      <c r="Q28" s="86">
        <f t="shared" si="2"/>
        <v>0</v>
      </c>
    </row>
    <row r="29" spans="1:17" ht="12.75" customHeight="1">
      <c r="A29" s="85"/>
      <c r="B29" s="85"/>
      <c r="C29" s="85" t="s">
        <v>186</v>
      </c>
      <c r="D29" s="82"/>
      <c r="E29" s="401">
        <v>0</v>
      </c>
      <c r="F29" s="401">
        <v>0</v>
      </c>
      <c r="G29" s="401">
        <v>0</v>
      </c>
      <c r="H29" s="401">
        <v>0</v>
      </c>
      <c r="I29" s="401">
        <v>0</v>
      </c>
      <c r="J29" s="401">
        <v>0</v>
      </c>
      <c r="K29" s="401">
        <v>0</v>
      </c>
      <c r="L29" s="401">
        <v>0</v>
      </c>
      <c r="M29" s="401">
        <v>0</v>
      </c>
      <c r="N29" s="401">
        <v>0</v>
      </c>
      <c r="O29" s="401">
        <v>0</v>
      </c>
      <c r="P29" s="401">
        <v>0</v>
      </c>
      <c r="Q29" s="86">
        <f t="shared" si="2"/>
        <v>0</v>
      </c>
    </row>
    <row r="30" spans="1:17" ht="12.75" customHeight="1" thickBot="1">
      <c r="A30" s="1"/>
      <c r="B30" s="1"/>
      <c r="C30" s="1" t="s">
        <v>187</v>
      </c>
      <c r="D30" s="37"/>
      <c r="E30" s="400">
        <v>0</v>
      </c>
      <c r="F30" s="400">
        <v>0</v>
      </c>
      <c r="G30" s="400"/>
      <c r="H30" s="400">
        <v>0</v>
      </c>
      <c r="I30" s="400">
        <v>0</v>
      </c>
      <c r="J30" s="400">
        <v>0</v>
      </c>
      <c r="K30" s="400">
        <v>0</v>
      </c>
      <c r="L30" s="400">
        <v>0</v>
      </c>
      <c r="M30" s="400">
        <v>0</v>
      </c>
      <c r="N30" s="400">
        <v>0</v>
      </c>
      <c r="O30" s="400">
        <v>0</v>
      </c>
      <c r="P30" s="400">
        <v>0</v>
      </c>
      <c r="Q30" s="49">
        <f t="shared" si="2"/>
        <v>0</v>
      </c>
    </row>
    <row r="31" spans="1:17" ht="12.75" customHeight="1">
      <c r="A31" s="1" t="s">
        <v>189</v>
      </c>
      <c r="B31" s="1"/>
      <c r="C31" s="1"/>
      <c r="D31" s="37"/>
      <c r="E31" s="45">
        <f>SUM(E19:E30)-E21-E20+E51+E52+E55</f>
        <v>0</v>
      </c>
      <c r="F31" s="45">
        <f t="shared" ref="F31:P31" si="3">SUM(F19:F30)-F21-F20+F51+F52+F55</f>
        <v>0</v>
      </c>
      <c r="G31" s="45">
        <f t="shared" si="3"/>
        <v>0</v>
      </c>
      <c r="H31" s="45">
        <f t="shared" si="3"/>
        <v>0</v>
      </c>
      <c r="I31" s="45">
        <f t="shared" si="3"/>
        <v>0</v>
      </c>
      <c r="J31" s="45">
        <f t="shared" si="3"/>
        <v>0</v>
      </c>
      <c r="K31" s="45">
        <f t="shared" si="3"/>
        <v>0</v>
      </c>
      <c r="L31" s="45">
        <f t="shared" si="3"/>
        <v>0</v>
      </c>
      <c r="M31" s="45">
        <f t="shared" si="3"/>
        <v>0</v>
      </c>
      <c r="N31" s="45">
        <f t="shared" si="3"/>
        <v>0</v>
      </c>
      <c r="O31" s="45">
        <f t="shared" si="3"/>
        <v>0</v>
      </c>
      <c r="P31" s="45">
        <f t="shared" si="3"/>
        <v>0</v>
      </c>
      <c r="Q31" s="45">
        <f>SUM(Q19:Q30)</f>
        <v>0</v>
      </c>
    </row>
    <row r="32" spans="1:17" ht="12.75" customHeight="1">
      <c r="A32" s="1"/>
      <c r="B32" s="1"/>
      <c r="C32" s="1"/>
      <c r="D32" s="37"/>
      <c r="E32" s="45"/>
      <c r="F32" s="45"/>
      <c r="G32" s="45"/>
      <c r="H32" s="45"/>
      <c r="I32" s="45"/>
      <c r="J32" s="45"/>
      <c r="K32" s="45"/>
      <c r="L32" s="45"/>
      <c r="M32" s="45"/>
      <c r="N32" s="45"/>
      <c r="O32" s="45"/>
      <c r="P32" s="45"/>
      <c r="Q32" s="45"/>
    </row>
    <row r="33" spans="1:17" ht="12.75" customHeight="1">
      <c r="A33" s="1" t="s">
        <v>191</v>
      </c>
      <c r="B33" s="1"/>
      <c r="C33" s="1"/>
      <c r="D33" s="37"/>
      <c r="E33" s="45">
        <f t="shared" ref="E33:P33" si="4">E15-E31</f>
        <v>0</v>
      </c>
      <c r="F33" s="45">
        <f t="shared" si="4"/>
        <v>0</v>
      </c>
      <c r="G33" s="45">
        <f t="shared" si="4"/>
        <v>0</v>
      </c>
      <c r="H33" s="45">
        <f t="shared" si="4"/>
        <v>0</v>
      </c>
      <c r="I33" s="45">
        <f t="shared" si="4"/>
        <v>0</v>
      </c>
      <c r="J33" s="45">
        <f t="shared" si="4"/>
        <v>0</v>
      </c>
      <c r="K33" s="45">
        <f t="shared" si="4"/>
        <v>0</v>
      </c>
      <c r="L33" s="45">
        <f t="shared" si="4"/>
        <v>0</v>
      </c>
      <c r="M33" s="45">
        <f t="shared" si="4"/>
        <v>0</v>
      </c>
      <c r="N33" s="45">
        <f t="shared" si="4"/>
        <v>0</v>
      </c>
      <c r="O33" s="45">
        <f t="shared" si="4"/>
        <v>0</v>
      </c>
      <c r="P33" s="45">
        <f t="shared" si="4"/>
        <v>0</v>
      </c>
      <c r="Q33" s="45">
        <f>SUM(E33:P33)</f>
        <v>0</v>
      </c>
    </row>
    <row r="34" spans="1:17" ht="12.75" customHeight="1">
      <c r="A34" s="1"/>
      <c r="B34" s="1"/>
      <c r="C34" s="1"/>
      <c r="D34" s="37"/>
      <c r="E34" s="45"/>
      <c r="F34" s="45"/>
      <c r="G34" s="45"/>
      <c r="H34" s="45"/>
      <c r="I34" s="45"/>
      <c r="J34" s="45"/>
      <c r="K34" s="45"/>
      <c r="L34" s="45"/>
      <c r="M34" s="45"/>
      <c r="N34" s="45"/>
      <c r="O34" s="45"/>
      <c r="P34" s="45"/>
      <c r="Q34" s="45"/>
    </row>
    <row r="35" spans="1:17" ht="12.75" customHeight="1" thickBot="1">
      <c r="A35" s="1" t="s">
        <v>190</v>
      </c>
      <c r="B35" s="1"/>
      <c r="C35" s="1"/>
      <c r="D35" s="37"/>
      <c r="E35" s="49">
        <f t="shared" ref="E35:P35" si="5">E8+E33</f>
        <v>0</v>
      </c>
      <c r="F35" s="49">
        <f t="shared" si="5"/>
        <v>0</v>
      </c>
      <c r="G35" s="49">
        <f t="shared" si="5"/>
        <v>0</v>
      </c>
      <c r="H35" s="49">
        <f t="shared" si="5"/>
        <v>0</v>
      </c>
      <c r="I35" s="49">
        <f t="shared" si="5"/>
        <v>0</v>
      </c>
      <c r="J35" s="49">
        <f t="shared" si="5"/>
        <v>0</v>
      </c>
      <c r="K35" s="49">
        <f t="shared" si="5"/>
        <v>0</v>
      </c>
      <c r="L35" s="49">
        <f t="shared" si="5"/>
        <v>0</v>
      </c>
      <c r="M35" s="49">
        <f t="shared" si="5"/>
        <v>0</v>
      </c>
      <c r="N35" s="49">
        <f t="shared" si="5"/>
        <v>0</v>
      </c>
      <c r="O35" s="49">
        <f t="shared" si="5"/>
        <v>0</v>
      </c>
      <c r="P35" s="49">
        <f t="shared" si="5"/>
        <v>0</v>
      </c>
      <c r="Q35" s="49"/>
    </row>
    <row r="36" spans="1:17" ht="12.75" customHeight="1">
      <c r="A36" s="1"/>
      <c r="B36" s="1"/>
      <c r="C36" s="1"/>
      <c r="D36" s="37"/>
      <c r="E36" s="45"/>
      <c r="F36" s="45"/>
      <c r="G36" s="45"/>
      <c r="H36" s="45"/>
      <c r="I36" s="45"/>
      <c r="J36" s="45"/>
      <c r="K36" s="45"/>
      <c r="L36" s="45"/>
      <c r="M36" s="45"/>
      <c r="N36" s="45"/>
      <c r="O36" s="45"/>
      <c r="P36" s="45"/>
      <c r="Q36" s="45"/>
    </row>
    <row r="37" spans="1:17" ht="12.75" customHeight="1">
      <c r="A37" s="1" t="s">
        <v>408</v>
      </c>
      <c r="B37" s="1"/>
      <c r="C37" s="1"/>
      <c r="D37" s="37"/>
      <c r="E37" s="45">
        <f>IF((E35-'6. Cash Receipts-Disbursements'!$G$21)&lt;0,'6. Cash Receipts-Disbursements'!$G$21-'13. Cash Flow Statement (2)'!E35,0)</f>
        <v>0</v>
      </c>
      <c r="F37" s="45">
        <f>IF((F35-'6. Cash Receipts-Disbursements'!$G$21)&lt;0,'6. Cash Receipts-Disbursements'!$G$21-'13. Cash Flow Statement (2)'!F35,0)</f>
        <v>0</v>
      </c>
      <c r="G37" s="45">
        <f>IF((G35-'6. Cash Receipts-Disbursements'!$G$21)&lt;0,'6. Cash Receipts-Disbursements'!$G$21-'13. Cash Flow Statement (2)'!G35,0)</f>
        <v>0</v>
      </c>
      <c r="H37" s="45">
        <f>IF((H35-'6. Cash Receipts-Disbursements'!$G$21)&lt;0,'6. Cash Receipts-Disbursements'!$G$21-'13. Cash Flow Statement (2)'!H35,0)</f>
        <v>0</v>
      </c>
      <c r="I37" s="45">
        <f>IF((I35-'6. Cash Receipts-Disbursements'!$G$21)&lt;0,'6. Cash Receipts-Disbursements'!$G$21-'13. Cash Flow Statement (2)'!I35,0)</f>
        <v>0</v>
      </c>
      <c r="J37" s="45">
        <f>IF((J35-'6. Cash Receipts-Disbursements'!$G$21)&lt;0,'6. Cash Receipts-Disbursements'!$G$21-'13. Cash Flow Statement (2)'!J35,0)</f>
        <v>0</v>
      </c>
      <c r="K37" s="45">
        <f>IF((K35-'6. Cash Receipts-Disbursements'!$G$21)&lt;0,'6. Cash Receipts-Disbursements'!$G$21-'13. Cash Flow Statement (2)'!K35,0)</f>
        <v>0</v>
      </c>
      <c r="L37" s="45">
        <f>IF((L35-'6. Cash Receipts-Disbursements'!$G$21)&lt;0,'6. Cash Receipts-Disbursements'!$G$21-'13. Cash Flow Statement (2)'!L35,0)</f>
        <v>0</v>
      </c>
      <c r="M37" s="45">
        <f>IF((M35-'6. Cash Receipts-Disbursements'!$G$21)&lt;0,'6. Cash Receipts-Disbursements'!$G$21-'13. Cash Flow Statement (2)'!M35,0)</f>
        <v>0</v>
      </c>
      <c r="N37" s="45">
        <f>IF((N35-'6. Cash Receipts-Disbursements'!$G$21)&lt;0,'6. Cash Receipts-Disbursements'!$G$21-'13. Cash Flow Statement (2)'!N35,0)</f>
        <v>0</v>
      </c>
      <c r="O37" s="45">
        <f>IF((O35-'6. Cash Receipts-Disbursements'!$G$21)&lt;0,'6. Cash Receipts-Disbursements'!$G$21-'13. Cash Flow Statement (2)'!O35,0)</f>
        <v>0</v>
      </c>
      <c r="P37" s="45">
        <f>IF((P35-'6. Cash Receipts-Disbursements'!$G$21)&lt;0,'6. Cash Receipts-Disbursements'!$G$21-'13. Cash Flow Statement (2)'!P35,0)</f>
        <v>0</v>
      </c>
      <c r="Q37" s="45">
        <f>SUM(E37:P37)</f>
        <v>0</v>
      </c>
    </row>
    <row r="38" spans="1:17" ht="12.75" customHeight="1" thickBot="1">
      <c r="A38" s="1"/>
      <c r="B38" s="1"/>
      <c r="C38" s="1"/>
      <c r="D38" s="37"/>
      <c r="E38" s="49"/>
      <c r="F38" s="49"/>
      <c r="G38" s="49"/>
      <c r="H38" s="49"/>
      <c r="I38" s="49"/>
      <c r="J38" s="49"/>
      <c r="K38" s="49"/>
      <c r="L38" s="49"/>
      <c r="M38" s="49"/>
      <c r="N38" s="49"/>
      <c r="O38" s="49"/>
      <c r="P38" s="49"/>
      <c r="Q38" s="49"/>
    </row>
    <row r="39" spans="1:17" ht="15.75" customHeight="1" thickBot="1">
      <c r="A39" s="1" t="s">
        <v>193</v>
      </c>
      <c r="B39" s="1"/>
      <c r="C39" s="1"/>
      <c r="D39" s="37"/>
      <c r="E39" s="57">
        <f>E35+E37-E67</f>
        <v>0</v>
      </c>
      <c r="F39" s="57">
        <f t="shared" ref="F39:P39" si="6">F35+F37-F67</f>
        <v>0</v>
      </c>
      <c r="G39" s="57">
        <f t="shared" si="6"/>
        <v>0</v>
      </c>
      <c r="H39" s="57">
        <f t="shared" si="6"/>
        <v>0</v>
      </c>
      <c r="I39" s="57">
        <f t="shared" si="6"/>
        <v>0</v>
      </c>
      <c r="J39" s="57">
        <f t="shared" si="6"/>
        <v>0</v>
      </c>
      <c r="K39" s="57">
        <f t="shared" si="6"/>
        <v>0</v>
      </c>
      <c r="L39" s="57">
        <f t="shared" si="6"/>
        <v>0</v>
      </c>
      <c r="M39" s="57">
        <f t="shared" si="6"/>
        <v>0</v>
      </c>
      <c r="N39" s="57">
        <f t="shared" si="6"/>
        <v>0</v>
      </c>
      <c r="O39" s="57">
        <f t="shared" si="6"/>
        <v>0</v>
      </c>
      <c r="P39" s="57">
        <f t="shared" si="6"/>
        <v>0</v>
      </c>
      <c r="Q39" s="57"/>
    </row>
    <row r="40" spans="1:17" ht="12.75" customHeight="1" thickTop="1">
      <c r="A40" s="1"/>
      <c r="B40" s="1"/>
      <c r="C40" s="1"/>
      <c r="D40" s="37"/>
      <c r="E40" s="45"/>
      <c r="F40" s="45"/>
      <c r="G40" s="45"/>
      <c r="H40" s="45"/>
      <c r="I40" s="45"/>
      <c r="J40" s="45"/>
      <c r="K40" s="45"/>
      <c r="L40" s="45"/>
      <c r="M40" s="45"/>
      <c r="N40" s="45"/>
      <c r="O40" s="45"/>
      <c r="P40" s="45"/>
      <c r="Q40" s="45"/>
    </row>
    <row r="41" spans="1:17" ht="12.75" customHeight="1">
      <c r="A41" s="1"/>
      <c r="B41" s="1"/>
      <c r="C41" s="1"/>
      <c r="D41" s="37"/>
      <c r="E41" s="45"/>
      <c r="F41" s="45"/>
      <c r="G41" s="45"/>
      <c r="H41" s="45"/>
      <c r="I41" s="45"/>
      <c r="J41" s="45"/>
      <c r="K41" s="45"/>
      <c r="L41" s="45"/>
      <c r="M41" s="45"/>
      <c r="N41" s="45"/>
      <c r="O41" s="45"/>
      <c r="P41" s="45"/>
      <c r="Q41" s="45"/>
    </row>
    <row r="42" spans="1:17" ht="12.75" customHeight="1">
      <c r="A42" s="1" t="s">
        <v>407</v>
      </c>
      <c r="B42" s="1"/>
      <c r="C42" s="1"/>
      <c r="D42" s="37"/>
      <c r="E42" s="150">
        <f>IF(('9. Cash Flow Statement'!P42+E37-E29-E45)&gt;0,'9. Cash Flow Statement'!P42+E37+E29-E45,0)</f>
        <v>0</v>
      </c>
      <c r="F42" s="150">
        <f>IF((E42+F37-F29-F45)&gt;0,E42+F37+F29-F45,0)</f>
        <v>0</v>
      </c>
      <c r="G42" s="150">
        <f t="shared" ref="G42:P42" si="7">IF((F42+G37-G29-G45)&gt;0,F42+G37+G29-G45,0)</f>
        <v>0</v>
      </c>
      <c r="H42" s="150">
        <f t="shared" si="7"/>
        <v>0</v>
      </c>
      <c r="I42" s="150">
        <f t="shared" si="7"/>
        <v>0</v>
      </c>
      <c r="J42" s="150">
        <f t="shared" si="7"/>
        <v>0</v>
      </c>
      <c r="K42" s="150">
        <f t="shared" si="7"/>
        <v>0</v>
      </c>
      <c r="L42" s="150">
        <f t="shared" si="7"/>
        <v>0</v>
      </c>
      <c r="M42" s="150">
        <f t="shared" si="7"/>
        <v>0</v>
      </c>
      <c r="N42" s="150">
        <f t="shared" si="7"/>
        <v>0</v>
      </c>
      <c r="O42" s="150">
        <f t="shared" si="7"/>
        <v>0</v>
      </c>
      <c r="P42" s="150">
        <f t="shared" si="7"/>
        <v>0</v>
      </c>
      <c r="Q42" s="86"/>
    </row>
    <row r="43" spans="1:17" ht="12.75" customHeight="1">
      <c r="A43" s="1"/>
      <c r="B43" s="1"/>
      <c r="C43" s="1"/>
      <c r="D43" s="37"/>
      <c r="E43" s="177"/>
      <c r="F43" s="177"/>
      <c r="G43" s="177"/>
      <c r="H43" s="177"/>
      <c r="I43" s="177"/>
      <c r="J43" s="177"/>
      <c r="K43" s="177"/>
      <c r="L43" s="177"/>
      <c r="M43" s="177"/>
      <c r="N43" s="177"/>
      <c r="O43" s="177"/>
      <c r="P43" s="177"/>
      <c r="Q43" s="37"/>
    </row>
    <row r="44" spans="1:17" ht="12.75" customHeight="1">
      <c r="A44" s="1"/>
      <c r="B44" s="1"/>
      <c r="C44" s="1"/>
      <c r="D44" s="37"/>
      <c r="E44" s="177"/>
      <c r="F44" s="177"/>
      <c r="G44" s="177"/>
      <c r="H44" s="177"/>
      <c r="I44" s="177"/>
      <c r="J44" s="177"/>
      <c r="K44" s="177"/>
      <c r="L44" s="177"/>
      <c r="M44" s="177"/>
      <c r="N44" s="177"/>
      <c r="O44" s="177"/>
      <c r="P44" s="177"/>
      <c r="Q44" s="37"/>
    </row>
    <row r="45" spans="1:17" ht="12.75" customHeight="1">
      <c r="A45" s="1" t="s">
        <v>117</v>
      </c>
      <c r="B45" s="173"/>
      <c r="C45" s="1"/>
      <c r="D45" s="37"/>
      <c r="E45" s="176">
        <f>IF('9. Cash Flow Statement'!P42-E66&gt;0,E66,'9. Cash Flow Statement'!P42)</f>
        <v>0</v>
      </c>
      <c r="F45" s="176">
        <f t="shared" ref="F45:P45" si="8">IF(E42-F66&gt;0,F66,E42)</f>
        <v>0</v>
      </c>
      <c r="G45" s="176">
        <f t="shared" si="8"/>
        <v>0</v>
      </c>
      <c r="H45" s="176">
        <f t="shared" si="8"/>
        <v>0</v>
      </c>
      <c r="I45" s="176">
        <f t="shared" si="8"/>
        <v>0</v>
      </c>
      <c r="J45" s="176">
        <f t="shared" si="8"/>
        <v>0</v>
      </c>
      <c r="K45" s="176">
        <f t="shared" si="8"/>
        <v>0</v>
      </c>
      <c r="L45" s="176">
        <f t="shared" si="8"/>
        <v>0</v>
      </c>
      <c r="M45" s="176">
        <f t="shared" si="8"/>
        <v>0</v>
      </c>
      <c r="N45" s="176">
        <f t="shared" si="8"/>
        <v>0</v>
      </c>
      <c r="O45" s="176">
        <f t="shared" si="8"/>
        <v>0</v>
      </c>
      <c r="P45" s="176">
        <f t="shared" si="8"/>
        <v>0</v>
      </c>
      <c r="Q45" s="37"/>
    </row>
    <row r="46" spans="1:17" ht="12.75" customHeight="1">
      <c r="A46" s="1"/>
      <c r="B46" s="1"/>
      <c r="C46" s="1"/>
      <c r="D46" s="37"/>
      <c r="E46" s="53"/>
      <c r="F46" s="37"/>
      <c r="G46" s="37"/>
      <c r="H46" s="37"/>
      <c r="I46" s="37"/>
      <c r="J46" s="37"/>
      <c r="K46" s="37"/>
      <c r="L46" s="37"/>
      <c r="M46" s="37"/>
      <c r="N46" s="37"/>
      <c r="O46" s="37"/>
      <c r="P46" s="37"/>
      <c r="Q46" s="37"/>
    </row>
    <row r="47" spans="1:17" ht="12.75" customHeight="1">
      <c r="A47" s="1"/>
      <c r="B47" s="1"/>
      <c r="C47" s="1"/>
      <c r="D47" s="37"/>
      <c r="E47" s="37"/>
      <c r="F47" s="37"/>
      <c r="G47" s="37"/>
      <c r="H47" s="37"/>
      <c r="I47" s="37"/>
      <c r="J47" s="37"/>
      <c r="K47" s="37"/>
      <c r="L47" s="37"/>
      <c r="M47" s="37"/>
      <c r="N47" s="37"/>
      <c r="O47" s="37"/>
      <c r="P47" s="37"/>
      <c r="Q47" s="37"/>
    </row>
    <row r="48" spans="1:17" ht="12.75" customHeight="1">
      <c r="A48" s="1"/>
      <c r="B48" s="1"/>
      <c r="C48" s="1"/>
      <c r="D48" s="37"/>
      <c r="E48" s="37"/>
      <c r="F48" s="37"/>
      <c r="G48" s="37"/>
      <c r="H48" s="37"/>
      <c r="I48" s="37"/>
      <c r="J48" s="37"/>
      <c r="K48" s="37"/>
      <c r="L48" s="37"/>
      <c r="M48" s="37"/>
      <c r="N48" s="37"/>
      <c r="O48" s="37"/>
      <c r="P48" s="37"/>
      <c r="Q48" s="37"/>
    </row>
    <row r="49" spans="1:17" ht="12.75" customHeight="1">
      <c r="A49" s="1" t="s">
        <v>46</v>
      </c>
      <c r="B49" s="1"/>
      <c r="C49" s="1"/>
      <c r="D49" s="37"/>
      <c r="E49" s="45">
        <f>+'9. Cash Flow Statement'!P53</f>
        <v>0</v>
      </c>
      <c r="F49" s="45">
        <f>+E53</f>
        <v>0</v>
      </c>
      <c r="G49" s="45">
        <f t="shared" ref="G49:P49" si="9">+F53</f>
        <v>0</v>
      </c>
      <c r="H49" s="45">
        <f t="shared" si="9"/>
        <v>0</v>
      </c>
      <c r="I49" s="45">
        <f t="shared" si="9"/>
        <v>0</v>
      </c>
      <c r="J49" s="45">
        <f t="shared" si="9"/>
        <v>0</v>
      </c>
      <c r="K49" s="45">
        <f t="shared" si="9"/>
        <v>0</v>
      </c>
      <c r="L49" s="45">
        <f t="shared" si="9"/>
        <v>0</v>
      </c>
      <c r="M49" s="45">
        <f t="shared" si="9"/>
        <v>0</v>
      </c>
      <c r="N49" s="45">
        <f t="shared" si="9"/>
        <v>0</v>
      </c>
      <c r="O49" s="45">
        <f t="shared" si="9"/>
        <v>0</v>
      </c>
      <c r="P49" s="45">
        <f t="shared" si="9"/>
        <v>0</v>
      </c>
      <c r="Q49" s="37"/>
    </row>
    <row r="50" spans="1:17" ht="12.75" customHeight="1">
      <c r="A50" s="1" t="s">
        <v>47</v>
      </c>
      <c r="B50" s="1"/>
      <c r="C50" s="1"/>
      <c r="D50" s="37"/>
      <c r="E50" s="45">
        <f>+E21-'5.Prod 7-20 Unit Sales Forecast'!H390</f>
        <v>0</v>
      </c>
      <c r="F50" s="45">
        <f>+F21-'5.Prod 7-20 Unit Sales Forecast'!I390</f>
        <v>0</v>
      </c>
      <c r="G50" s="45">
        <f>+G21-'5.Prod 7-20 Unit Sales Forecast'!J390</f>
        <v>0</v>
      </c>
      <c r="H50" s="45">
        <f>+H21-'5.Prod 7-20 Unit Sales Forecast'!K390</f>
        <v>0</v>
      </c>
      <c r="I50" s="45">
        <f>+I21-'5.Prod 7-20 Unit Sales Forecast'!L390</f>
        <v>0</v>
      </c>
      <c r="J50" s="45">
        <f>+J21-'5.Prod 7-20 Unit Sales Forecast'!M390</f>
        <v>0</v>
      </c>
      <c r="K50" s="45">
        <f>+K21-'5.Prod 7-20 Unit Sales Forecast'!N390</f>
        <v>0</v>
      </c>
      <c r="L50" s="45">
        <f>+L21-'5.Prod 7-20 Unit Sales Forecast'!O390</f>
        <v>0</v>
      </c>
      <c r="M50" s="45">
        <f>+M21-'5.Prod 7-20 Unit Sales Forecast'!P390</f>
        <v>0</v>
      </c>
      <c r="N50" s="45">
        <f>+N21-'5.Prod 7-20 Unit Sales Forecast'!Q390</f>
        <v>0</v>
      </c>
      <c r="O50" s="45">
        <f>+O21-'5.Prod 7-20 Unit Sales Forecast'!R390</f>
        <v>0</v>
      </c>
      <c r="P50" s="45">
        <f>+P21-'5.Prod 7-20 Unit Sales Forecast'!S390</f>
        <v>0</v>
      </c>
      <c r="Q50" s="53">
        <f>SUM(E50:P50)</f>
        <v>0</v>
      </c>
    </row>
    <row r="51" spans="1:17" ht="12.75" customHeight="1">
      <c r="A51" s="1" t="s">
        <v>48</v>
      </c>
      <c r="B51" s="1"/>
      <c r="C51" s="1"/>
      <c r="D51" s="37"/>
      <c r="E51" s="45">
        <f>+E20</f>
        <v>0</v>
      </c>
      <c r="F51" s="45">
        <f>+F20</f>
        <v>0</v>
      </c>
      <c r="G51" s="45">
        <f t="shared" ref="G51:P51" si="10">+G20</f>
        <v>0</v>
      </c>
      <c r="H51" s="45">
        <f t="shared" si="10"/>
        <v>0</v>
      </c>
      <c r="I51" s="45">
        <f t="shared" si="10"/>
        <v>0</v>
      </c>
      <c r="J51" s="45">
        <f t="shared" si="10"/>
        <v>0</v>
      </c>
      <c r="K51" s="45">
        <f t="shared" si="10"/>
        <v>0</v>
      </c>
      <c r="L51" s="45">
        <f t="shared" si="10"/>
        <v>0</v>
      </c>
      <c r="M51" s="45">
        <f t="shared" si="10"/>
        <v>0</v>
      </c>
      <c r="N51" s="45">
        <f t="shared" si="10"/>
        <v>0</v>
      </c>
      <c r="O51" s="45">
        <f t="shared" si="10"/>
        <v>0</v>
      </c>
      <c r="P51" s="45">
        <f t="shared" si="10"/>
        <v>0</v>
      </c>
      <c r="Q51" s="37"/>
    </row>
    <row r="52" spans="1:17" ht="12.75" customHeight="1">
      <c r="A52" s="1" t="s">
        <v>49</v>
      </c>
      <c r="B52" s="1"/>
      <c r="C52" s="1"/>
      <c r="D52" s="37"/>
      <c r="E52" s="45">
        <f t="shared" ref="E52:P52" si="11">IF(E49-E50+E51&gt;=mininv2,0,mininv2-E49+E50-E51)</f>
        <v>0</v>
      </c>
      <c r="F52" s="45">
        <f t="shared" si="11"/>
        <v>0</v>
      </c>
      <c r="G52" s="45">
        <f t="shared" si="11"/>
        <v>0</v>
      </c>
      <c r="H52" s="45">
        <f t="shared" si="11"/>
        <v>0</v>
      </c>
      <c r="I52" s="45">
        <f t="shared" si="11"/>
        <v>0</v>
      </c>
      <c r="J52" s="45">
        <f t="shared" si="11"/>
        <v>0</v>
      </c>
      <c r="K52" s="45">
        <f t="shared" si="11"/>
        <v>0</v>
      </c>
      <c r="L52" s="45">
        <f t="shared" si="11"/>
        <v>0</v>
      </c>
      <c r="M52" s="45">
        <f t="shared" si="11"/>
        <v>0</v>
      </c>
      <c r="N52" s="45">
        <f t="shared" si="11"/>
        <v>0</v>
      </c>
      <c r="O52" s="45">
        <f t="shared" si="11"/>
        <v>0</v>
      </c>
      <c r="P52" s="45">
        <f t="shared" si="11"/>
        <v>0</v>
      </c>
      <c r="Q52" s="53">
        <f>SUM(E52:P52)</f>
        <v>0</v>
      </c>
    </row>
    <row r="53" spans="1:17" ht="12.75" customHeight="1">
      <c r="A53" s="1" t="s">
        <v>50</v>
      </c>
      <c r="B53" s="1"/>
      <c r="C53" s="1"/>
      <c r="D53" s="37"/>
      <c r="E53" s="45">
        <f>+E49-E50+E51+E52</f>
        <v>0</v>
      </c>
      <c r="F53" s="45">
        <f>+F49-F50+F51+F52</f>
        <v>0</v>
      </c>
      <c r="G53" s="45">
        <f t="shared" ref="G53:P53" si="12">+G49-G50+G51+G52</f>
        <v>0</v>
      </c>
      <c r="H53" s="45">
        <f t="shared" si="12"/>
        <v>0</v>
      </c>
      <c r="I53" s="45">
        <f t="shared" si="12"/>
        <v>0</v>
      </c>
      <c r="J53" s="45">
        <f t="shared" si="12"/>
        <v>0</v>
      </c>
      <c r="K53" s="45">
        <f t="shared" si="12"/>
        <v>0</v>
      </c>
      <c r="L53" s="45">
        <f t="shared" si="12"/>
        <v>0</v>
      </c>
      <c r="M53" s="45">
        <f t="shared" si="12"/>
        <v>0</v>
      </c>
      <c r="N53" s="45">
        <f t="shared" si="12"/>
        <v>0</v>
      </c>
      <c r="O53" s="45">
        <f t="shared" si="12"/>
        <v>0</v>
      </c>
      <c r="P53" s="45">
        <f t="shared" si="12"/>
        <v>0</v>
      </c>
      <c r="Q53" s="37"/>
    </row>
    <row r="54" spans="1:17" ht="12.75" customHeight="1">
      <c r="A54" s="1"/>
      <c r="B54" s="1"/>
      <c r="C54" s="1"/>
      <c r="D54" s="37"/>
      <c r="E54" s="37"/>
      <c r="F54" s="37"/>
      <c r="G54" s="37"/>
      <c r="H54" s="37"/>
      <c r="I54" s="37"/>
      <c r="J54" s="37"/>
      <c r="K54" s="37"/>
      <c r="L54" s="37"/>
      <c r="M54" s="37"/>
      <c r="N54" s="37"/>
      <c r="O54" s="37"/>
      <c r="P54" s="37"/>
      <c r="Q54" s="37"/>
    </row>
    <row r="55" spans="1:17" ht="12.75" customHeight="1">
      <c r="A55" s="6" t="s">
        <v>384</v>
      </c>
      <c r="D55" s="1"/>
      <c r="E55" s="287">
        <f>+E21-E50</f>
        <v>0</v>
      </c>
      <c r="F55" s="287">
        <f t="shared" ref="F55:P55" si="13">+F21-F50</f>
        <v>0</v>
      </c>
      <c r="G55" s="287">
        <f t="shared" si="13"/>
        <v>0</v>
      </c>
      <c r="H55" s="287">
        <f t="shared" si="13"/>
        <v>0</v>
      </c>
      <c r="I55" s="287">
        <f t="shared" si="13"/>
        <v>0</v>
      </c>
      <c r="J55" s="287">
        <f t="shared" si="13"/>
        <v>0</v>
      </c>
      <c r="K55" s="287">
        <f t="shared" si="13"/>
        <v>0</v>
      </c>
      <c r="L55" s="287">
        <f t="shared" si="13"/>
        <v>0</v>
      </c>
      <c r="M55" s="287">
        <f t="shared" si="13"/>
        <v>0</v>
      </c>
      <c r="N55" s="287">
        <f t="shared" si="13"/>
        <v>0</v>
      </c>
      <c r="O55" s="287">
        <f t="shared" si="13"/>
        <v>0</v>
      </c>
      <c r="P55" s="287">
        <f t="shared" si="13"/>
        <v>0</v>
      </c>
    </row>
    <row r="56" spans="1:17" ht="12.75" customHeight="1">
      <c r="E56" s="14"/>
      <c r="F56" s="14"/>
      <c r="G56" s="14"/>
      <c r="H56" s="14"/>
      <c r="I56" s="14"/>
      <c r="J56" s="14"/>
      <c r="K56" s="14"/>
      <c r="L56" s="14"/>
      <c r="M56" s="14"/>
      <c r="N56" s="14"/>
      <c r="O56" s="14"/>
      <c r="P56" s="14"/>
      <c r="Q56" s="14"/>
    </row>
    <row r="57" spans="1:17" ht="12.75" customHeight="1">
      <c r="E57" s="14"/>
      <c r="F57" s="14"/>
      <c r="G57" s="14"/>
      <c r="H57" s="14"/>
      <c r="I57" s="14"/>
      <c r="J57" s="14"/>
      <c r="K57" s="14"/>
      <c r="L57" s="14"/>
      <c r="M57" s="14"/>
      <c r="N57" s="14"/>
      <c r="O57" s="14"/>
      <c r="P57" s="14"/>
      <c r="Q57" s="14"/>
    </row>
    <row r="58" spans="1:17" ht="12.75" customHeight="1">
      <c r="E58" s="14"/>
      <c r="F58" s="14"/>
      <c r="G58" s="14"/>
      <c r="H58" s="14"/>
      <c r="I58" s="14"/>
      <c r="J58" s="14"/>
      <c r="K58" s="14"/>
      <c r="L58" s="14"/>
      <c r="M58" s="14"/>
      <c r="N58" s="14"/>
      <c r="O58" s="14"/>
      <c r="P58" s="14"/>
      <c r="Q58" s="14"/>
    </row>
    <row r="59" spans="1:17" ht="12.75" customHeight="1">
      <c r="D59" s="7"/>
      <c r="E59" s="14"/>
      <c r="F59" s="14"/>
      <c r="G59" s="14"/>
      <c r="H59" s="14"/>
      <c r="I59" s="14"/>
      <c r="J59" s="14"/>
      <c r="K59" s="14"/>
      <c r="L59" s="14"/>
      <c r="M59" s="14"/>
      <c r="N59" s="14"/>
      <c r="O59" s="14"/>
      <c r="P59" s="14"/>
      <c r="Q59" s="14"/>
    </row>
    <row r="60" spans="1:17" ht="12.75" customHeight="1">
      <c r="D60" s="7"/>
      <c r="E60" s="14"/>
      <c r="F60" s="14"/>
      <c r="G60" s="14"/>
      <c r="H60" s="14"/>
      <c r="I60" s="14"/>
      <c r="J60" s="14"/>
      <c r="K60" s="14"/>
      <c r="L60" s="14"/>
      <c r="M60" s="14"/>
      <c r="N60" s="14"/>
      <c r="O60" s="14"/>
      <c r="P60" s="14"/>
      <c r="Q60" s="14"/>
    </row>
    <row r="61" spans="1:17" ht="12.75" customHeight="1">
      <c r="D61" s="7"/>
      <c r="E61" s="14"/>
      <c r="F61" s="14"/>
      <c r="G61" s="14"/>
      <c r="H61" s="14"/>
      <c r="I61" s="14"/>
      <c r="J61" s="14"/>
      <c r="K61" s="14"/>
      <c r="L61" s="14"/>
      <c r="M61" s="14"/>
      <c r="N61" s="14"/>
      <c r="O61" s="14"/>
      <c r="P61" s="14"/>
      <c r="Q61" s="14"/>
    </row>
    <row r="62" spans="1:17" ht="12.75" customHeight="1">
      <c r="A62" s="6" t="s">
        <v>6</v>
      </c>
      <c r="D62" s="7"/>
      <c r="E62" s="174">
        <f>IF('9. Cash Flow Statement'!P42&gt;0,D42,0)</f>
        <v>0</v>
      </c>
      <c r="F62" s="174">
        <f>IF(E42&gt;0,E42,0)</f>
        <v>0</v>
      </c>
      <c r="G62" s="174">
        <f t="shared" ref="G62:P62" si="14">IF(F42&gt;0,F42,0)</f>
        <v>0</v>
      </c>
      <c r="H62" s="174">
        <f t="shared" si="14"/>
        <v>0</v>
      </c>
      <c r="I62" s="174">
        <f t="shared" si="14"/>
        <v>0</v>
      </c>
      <c r="J62" s="174">
        <f t="shared" si="14"/>
        <v>0</v>
      </c>
      <c r="K62" s="174">
        <f t="shared" si="14"/>
        <v>0</v>
      </c>
      <c r="L62" s="174">
        <f t="shared" si="14"/>
        <v>0</v>
      </c>
      <c r="M62" s="174">
        <f t="shared" si="14"/>
        <v>0</v>
      </c>
      <c r="N62" s="174">
        <f t="shared" si="14"/>
        <v>0</v>
      </c>
      <c r="O62" s="174">
        <f t="shared" si="14"/>
        <v>0</v>
      </c>
      <c r="P62" s="174">
        <f t="shared" si="14"/>
        <v>0</v>
      </c>
      <c r="Q62" s="14"/>
    </row>
    <row r="63" spans="1:17" ht="12.75" customHeight="1">
      <c r="F63" s="175"/>
      <c r="G63" s="175"/>
      <c r="H63" s="175"/>
      <c r="I63" s="175"/>
      <c r="J63" s="175"/>
      <c r="K63" s="175"/>
      <c r="L63" s="175"/>
      <c r="M63" s="175"/>
      <c r="N63" s="175"/>
      <c r="O63" s="175"/>
      <c r="P63" s="175"/>
      <c r="Q63" s="14"/>
    </row>
    <row r="64" spans="1:17" ht="12.75" customHeight="1">
      <c r="A64" s="6" t="s">
        <v>3</v>
      </c>
      <c r="E64" s="174">
        <f>IF(E62&gt;0,(IF(E33&gt;0, E33,0)),0)</f>
        <v>0</v>
      </c>
      <c r="F64" s="174">
        <f>IF(F62&gt;0,(IF(F33&gt;0, F33,0)),0)</f>
        <v>0</v>
      </c>
      <c r="G64" s="174">
        <f t="shared" ref="G64:P64" si="15">IF(G62&gt;0,(IF(G33&gt;0, G33,0)),0)</f>
        <v>0</v>
      </c>
      <c r="H64" s="174">
        <f t="shared" si="15"/>
        <v>0</v>
      </c>
      <c r="I64" s="174">
        <f t="shared" si="15"/>
        <v>0</v>
      </c>
      <c r="J64" s="174">
        <f t="shared" si="15"/>
        <v>0</v>
      </c>
      <c r="K64" s="174">
        <f t="shared" si="15"/>
        <v>0</v>
      </c>
      <c r="L64" s="174">
        <f t="shared" si="15"/>
        <v>0</v>
      </c>
      <c r="M64" s="174">
        <f t="shared" si="15"/>
        <v>0</v>
      </c>
      <c r="N64" s="174">
        <f t="shared" si="15"/>
        <v>0</v>
      </c>
      <c r="O64" s="174">
        <f t="shared" si="15"/>
        <v>0</v>
      </c>
      <c r="P64" s="174">
        <f t="shared" si="15"/>
        <v>0</v>
      </c>
      <c r="Q64" s="14"/>
    </row>
    <row r="65" spans="1:17" ht="12.75" customHeight="1">
      <c r="A65" s="6" t="s">
        <v>4</v>
      </c>
      <c r="E65" s="86">
        <f>IF(E64&gt;0,(IF(MinCash&gt;0,E35-MinCash,E33)),0)</f>
        <v>0</v>
      </c>
      <c r="F65" s="86">
        <f>IF(F64&gt;0,(IF(MinCash&gt;0,F35-MinCash,F33)),0)</f>
        <v>0</v>
      </c>
      <c r="G65" s="86">
        <f t="shared" ref="G65:P65" si="16">IF(G64&gt;0,(IF(MinCash&gt;0,G35-MinCash,G33)),0)</f>
        <v>0</v>
      </c>
      <c r="H65" s="86">
        <f t="shared" si="16"/>
        <v>0</v>
      </c>
      <c r="I65" s="86">
        <f t="shared" si="16"/>
        <v>0</v>
      </c>
      <c r="J65" s="86">
        <f t="shared" si="16"/>
        <v>0</v>
      </c>
      <c r="K65" s="86">
        <f t="shared" si="16"/>
        <v>0</v>
      </c>
      <c r="L65" s="86">
        <f t="shared" si="16"/>
        <v>0</v>
      </c>
      <c r="M65" s="86">
        <f t="shared" si="16"/>
        <v>0</v>
      </c>
      <c r="N65" s="86">
        <f t="shared" si="16"/>
        <v>0</v>
      </c>
      <c r="O65" s="86">
        <f t="shared" si="16"/>
        <v>0</v>
      </c>
      <c r="P65" s="86">
        <f t="shared" si="16"/>
        <v>0</v>
      </c>
      <c r="Q65" s="14"/>
    </row>
    <row r="66" spans="1:17" ht="12.75" customHeight="1">
      <c r="A66" s="6" t="s">
        <v>5</v>
      </c>
      <c r="E66" s="174">
        <f t="shared" ref="E66:O66" si="17">IF(E65=E33,(IF(MinRed=0,0,MinRed*E33)),E65)</f>
        <v>0</v>
      </c>
      <c r="F66" s="174">
        <f t="shared" si="17"/>
        <v>0</v>
      </c>
      <c r="G66" s="174">
        <f t="shared" si="17"/>
        <v>0</v>
      </c>
      <c r="H66" s="174">
        <f t="shared" si="17"/>
        <v>0</v>
      </c>
      <c r="I66" s="174">
        <f t="shared" si="17"/>
        <v>0</v>
      </c>
      <c r="J66" s="174">
        <f t="shared" si="17"/>
        <v>0</v>
      </c>
      <c r="K66" s="174">
        <f t="shared" si="17"/>
        <v>0</v>
      </c>
      <c r="L66" s="174">
        <f t="shared" si="17"/>
        <v>0</v>
      </c>
      <c r="M66" s="174">
        <f t="shared" si="17"/>
        <v>0</v>
      </c>
      <c r="N66" s="174">
        <f t="shared" si="17"/>
        <v>0</v>
      </c>
      <c r="O66" s="174">
        <f t="shared" si="17"/>
        <v>0</v>
      </c>
      <c r="P66" s="174">
        <f>IF(P65=P33,(IF(MinRed=0,P33,MinRed*P33)),P65)</f>
        <v>0</v>
      </c>
      <c r="Q66" s="14"/>
    </row>
    <row r="67" spans="1:17" ht="12.75" customHeight="1">
      <c r="A67" s="6" t="s">
        <v>35</v>
      </c>
      <c r="E67" s="77">
        <f>IF(E66&lt;'9. Cash Flow Statement'!P42,E66,'9. Cash Flow Statement'!P42)</f>
        <v>0</v>
      </c>
      <c r="F67" s="77">
        <f t="shared" ref="F67:P67" si="18">IF(F66&lt;E42,F66,E42)</f>
        <v>0</v>
      </c>
      <c r="G67" s="77">
        <f t="shared" si="18"/>
        <v>0</v>
      </c>
      <c r="H67" s="77">
        <f t="shared" si="18"/>
        <v>0</v>
      </c>
      <c r="I67" s="77">
        <f t="shared" si="18"/>
        <v>0</v>
      </c>
      <c r="J67" s="77">
        <f t="shared" si="18"/>
        <v>0</v>
      </c>
      <c r="K67" s="77">
        <f t="shared" si="18"/>
        <v>0</v>
      </c>
      <c r="L67" s="77">
        <f t="shared" si="18"/>
        <v>0</v>
      </c>
      <c r="M67" s="77">
        <f t="shared" si="18"/>
        <v>0</v>
      </c>
      <c r="N67" s="77">
        <f t="shared" si="18"/>
        <v>0</v>
      </c>
      <c r="O67" s="77">
        <f t="shared" si="18"/>
        <v>0</v>
      </c>
      <c r="P67" s="77">
        <f t="shared" si="18"/>
        <v>0</v>
      </c>
      <c r="Q67" s="14"/>
    </row>
    <row r="68" spans="1:17" ht="12.75" customHeight="1"/>
    <row r="69" spans="1:17" ht="12.75" customHeight="1"/>
    <row r="70" spans="1:17" ht="12.75" customHeight="1"/>
    <row r="71" spans="1:17" ht="12.75" customHeight="1"/>
    <row r="72" spans="1:17" ht="12.75" customHeight="1"/>
    <row r="73" spans="1:17" ht="12.75" customHeight="1"/>
    <row r="74" spans="1:17" ht="12.75" customHeight="1"/>
    <row r="75" spans="1:17" ht="12.75" customHeight="1"/>
    <row r="76" spans="1:17" ht="12.75" customHeight="1"/>
    <row r="77" spans="1:17" ht="12.75" customHeight="1"/>
    <row r="78" spans="1:17" ht="12.75" customHeight="1"/>
    <row r="79" spans="1:17" ht="12.75" customHeight="1"/>
    <row r="80" spans="1:17"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sheetData>
  <phoneticPr fontId="4" type="noConversion"/>
  <pageMargins left="0.75" right="0.75" top="1" bottom="0.75" header="0.5" footer="0.5"/>
  <pageSetup scale="75" orientation="landscape" blackAndWhite="1" horizontalDpi="300" verticalDpi="300"/>
  <headerFooter alignWithMargins="0"/>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8"/>
  <sheetViews>
    <sheetView showGridLines="0" zoomScale="78" zoomScaleNormal="78" workbookViewId="0"/>
  </sheetViews>
  <sheetFormatPr defaultColWidth="8.85546875" defaultRowHeight="12"/>
  <cols>
    <col min="1" max="3" width="3" style="6" customWidth="1"/>
    <col min="4" max="4" width="22.85546875" customWidth="1"/>
    <col min="5" max="5" width="10.85546875" customWidth="1"/>
    <col min="6" max="6" width="20.85546875" customWidth="1"/>
    <col min="7" max="7" width="8.85546875" customWidth="1"/>
    <col min="8" max="8" width="10.85546875" customWidth="1"/>
    <col min="9" max="9" width="20.85546875" customWidth="1"/>
    <col min="10" max="10" width="8.85546875" customWidth="1"/>
    <col min="11" max="17" width="10.85546875" customWidth="1"/>
    <col min="18" max="18" width="15.85546875" customWidth="1"/>
  </cols>
  <sheetData>
    <row r="1" spans="1:18" ht="15.75">
      <c r="A1" s="5" t="str">
        <f>'1. Required Start-Up Funds'!A1</f>
        <v xml:space="preserve"> </v>
      </c>
      <c r="D1" s="1"/>
      <c r="E1" s="1"/>
      <c r="F1" s="1"/>
      <c r="G1" s="1"/>
      <c r="H1" s="1"/>
      <c r="I1" s="1"/>
      <c r="J1" s="1"/>
    </row>
    <row r="2" spans="1:18" ht="15.75">
      <c r="A2" s="5" t="s">
        <v>60</v>
      </c>
      <c r="D2" s="1"/>
      <c r="E2" s="1"/>
      <c r="F2" s="1"/>
      <c r="G2" s="1"/>
      <c r="H2" s="1"/>
      <c r="I2" s="1"/>
      <c r="J2" s="1"/>
    </row>
    <row r="3" spans="1:18" ht="12.75" customHeight="1">
      <c r="A3" s="1"/>
      <c r="B3" s="1"/>
      <c r="C3" s="1"/>
      <c r="D3" s="1"/>
      <c r="E3" s="1"/>
      <c r="F3" s="1"/>
      <c r="G3" s="1"/>
      <c r="H3" s="1"/>
      <c r="I3" s="1"/>
      <c r="J3" s="1"/>
      <c r="K3" s="37"/>
      <c r="L3" s="37"/>
      <c r="M3" s="37"/>
      <c r="N3" s="37"/>
      <c r="O3" s="37"/>
      <c r="P3" s="37"/>
      <c r="Q3" s="7"/>
      <c r="R3" s="7"/>
    </row>
    <row r="4" spans="1:18" ht="12.75" customHeight="1" thickBot="1">
      <c r="A4" s="1"/>
      <c r="B4" s="1"/>
      <c r="C4" s="1"/>
      <c r="D4" s="1"/>
      <c r="E4" s="83"/>
      <c r="F4" s="40" t="s">
        <v>40</v>
      </c>
      <c r="G4" s="84"/>
      <c r="H4" s="83"/>
      <c r="I4" s="40" t="s">
        <v>38</v>
      </c>
      <c r="J4" s="84"/>
      <c r="K4" s="83"/>
      <c r="L4" s="83"/>
      <c r="M4" s="83"/>
      <c r="N4" s="83"/>
      <c r="O4" s="83"/>
      <c r="P4" s="83"/>
      <c r="Q4" s="15"/>
      <c r="R4" s="15"/>
    </row>
    <row r="5" spans="1:18" ht="12.75" customHeight="1" thickTop="1">
      <c r="A5" s="85"/>
      <c r="B5" s="85"/>
      <c r="C5" s="85"/>
      <c r="D5" s="85"/>
      <c r="E5" s="85"/>
      <c r="F5" s="85"/>
      <c r="G5" s="85"/>
      <c r="H5" s="85"/>
      <c r="I5" s="85"/>
      <c r="J5" s="85"/>
      <c r="K5" s="82"/>
      <c r="L5" s="82"/>
      <c r="M5" s="82"/>
      <c r="N5" s="82"/>
      <c r="O5" s="82"/>
      <c r="P5" s="82"/>
      <c r="Q5" s="17"/>
      <c r="R5" s="17"/>
    </row>
    <row r="6" spans="1:18" ht="12.75" customHeight="1">
      <c r="A6" s="85" t="s">
        <v>195</v>
      </c>
      <c r="B6" s="85"/>
      <c r="C6" s="85"/>
      <c r="D6" s="85"/>
      <c r="E6" s="85"/>
      <c r="F6" s="280"/>
      <c r="G6" s="280"/>
      <c r="H6" s="280"/>
      <c r="I6" s="280"/>
      <c r="J6" s="85"/>
      <c r="K6" s="82"/>
      <c r="L6" s="82"/>
      <c r="M6" s="82"/>
      <c r="N6" s="82"/>
      <c r="O6" s="82"/>
      <c r="P6" s="82"/>
      <c r="Q6" s="17"/>
      <c r="R6" s="17"/>
    </row>
    <row r="7" spans="1:18" ht="12.75" customHeight="1">
      <c r="A7" s="85"/>
      <c r="B7" s="85" t="s">
        <v>196</v>
      </c>
      <c r="C7" s="85"/>
      <c r="D7" s="85"/>
      <c r="E7" s="85"/>
      <c r="F7" s="280"/>
      <c r="G7" s="280"/>
      <c r="H7" s="280"/>
      <c r="I7" s="280"/>
      <c r="J7" s="85"/>
      <c r="K7" s="82"/>
      <c r="L7" s="82"/>
      <c r="M7" s="82"/>
      <c r="N7" s="82"/>
      <c r="O7" s="82"/>
      <c r="P7" s="82"/>
      <c r="Q7" s="17"/>
      <c r="R7" s="17"/>
    </row>
    <row r="8" spans="1:18" ht="12.75" customHeight="1">
      <c r="A8" s="85"/>
      <c r="B8" s="85"/>
      <c r="C8" s="85" t="s">
        <v>197</v>
      </c>
      <c r="D8" s="85"/>
      <c r="E8" s="85"/>
      <c r="F8" s="280">
        <f>'10. Balance Sheet'!I8</f>
        <v>0</v>
      </c>
      <c r="G8" s="280"/>
      <c r="H8" s="280"/>
      <c r="I8" s="280">
        <f>'13. Cash Flow Statement (2)'!P39</f>
        <v>0</v>
      </c>
      <c r="J8" s="85"/>
      <c r="K8" s="82"/>
      <c r="L8" s="82"/>
      <c r="M8" s="82"/>
      <c r="N8" s="82"/>
      <c r="O8" s="82"/>
      <c r="P8" s="82"/>
      <c r="Q8" s="17"/>
      <c r="R8" s="17"/>
    </row>
    <row r="9" spans="1:18" ht="12.75" customHeight="1">
      <c r="A9" s="85"/>
      <c r="B9" s="85"/>
      <c r="C9" s="85" t="s">
        <v>179</v>
      </c>
      <c r="D9" s="85"/>
      <c r="E9" s="85"/>
      <c r="F9" s="280">
        <f>'10. Balance Sheet'!I9</f>
        <v>0</v>
      </c>
      <c r="G9" s="280"/>
      <c r="H9" s="280"/>
      <c r="I9" s="280">
        <f>F9+'12. Income Statement (2)'!Q16-'13. Cash Flow Statement (2)'!Q15</f>
        <v>0</v>
      </c>
      <c r="J9" s="85"/>
      <c r="K9" s="82"/>
      <c r="L9" s="82"/>
      <c r="M9" s="82"/>
      <c r="N9" s="82"/>
      <c r="O9" s="82"/>
      <c r="P9" s="82"/>
      <c r="Q9" s="17"/>
      <c r="R9" s="17"/>
    </row>
    <row r="10" spans="1:18" ht="12.75" customHeight="1">
      <c r="A10" s="85"/>
      <c r="B10" s="85"/>
      <c r="C10" s="85" t="s">
        <v>199</v>
      </c>
      <c r="D10" s="85"/>
      <c r="E10" s="85"/>
      <c r="F10" s="280">
        <f>'10. Balance Sheet'!I10</f>
        <v>0</v>
      </c>
      <c r="G10" s="280"/>
      <c r="H10" s="280"/>
      <c r="I10" s="280">
        <f>+'13. Cash Flow Statement (2)'!P53</f>
        <v>0</v>
      </c>
      <c r="J10" s="85"/>
      <c r="K10" s="82"/>
      <c r="L10" s="82"/>
      <c r="M10" s="82"/>
      <c r="N10" s="82"/>
      <c r="O10" s="82"/>
      <c r="P10" s="82"/>
      <c r="Q10" s="17"/>
      <c r="R10" s="17"/>
    </row>
    <row r="11" spans="1:18" ht="12.75" customHeight="1">
      <c r="A11" s="85"/>
      <c r="B11" s="85"/>
      <c r="C11" s="85" t="s">
        <v>200</v>
      </c>
      <c r="D11" s="85"/>
      <c r="E11" s="85"/>
      <c r="F11" s="280">
        <f>'10. Balance Sheet'!I11</f>
        <v>0</v>
      </c>
      <c r="G11" s="280"/>
      <c r="H11" s="280"/>
      <c r="I11" s="280">
        <f>IF(F11='7. Beginning Balance Sheet'!F13,'7. Beginning Balance Sheet'!F13,'14. Balance Sheet (2)'!F11-'6. Cash Receipts-Disbursements'!J26)</f>
        <v>0</v>
      </c>
      <c r="J11" s="85"/>
      <c r="K11" s="82"/>
      <c r="L11" s="82"/>
      <c r="M11" s="82"/>
      <c r="N11" s="82"/>
      <c r="O11" s="82"/>
      <c r="P11" s="82"/>
      <c r="Q11" s="17"/>
      <c r="R11" s="17"/>
    </row>
    <row r="12" spans="1:18" ht="12.75" customHeight="1" thickBot="1">
      <c r="A12" s="85"/>
      <c r="B12" s="85"/>
      <c r="C12" s="85" t="s">
        <v>201</v>
      </c>
      <c r="D12" s="85"/>
      <c r="E12" s="85"/>
      <c r="F12" s="281">
        <f>'10. Balance Sheet'!I12</f>
        <v>0</v>
      </c>
      <c r="G12" s="280"/>
      <c r="H12" s="280"/>
      <c r="I12" s="281">
        <f>IF(F12='7. Beginning Balance Sheet'!F14,'7. Beginning Balance Sheet'!F14,'14. Balance Sheet (2)'!F12-'6. Cash Receipts-Disbursements'!J27)</f>
        <v>0</v>
      </c>
      <c r="J12" s="85"/>
      <c r="K12" s="82"/>
      <c r="L12" s="82"/>
      <c r="M12" s="82"/>
      <c r="N12" s="82"/>
      <c r="O12" s="82"/>
      <c r="P12" s="82"/>
      <c r="Q12" s="17"/>
      <c r="R12" s="17"/>
    </row>
    <row r="13" spans="1:18" ht="12.75" customHeight="1">
      <c r="A13" s="85"/>
      <c r="B13" s="85" t="s">
        <v>202</v>
      </c>
      <c r="C13" s="85"/>
      <c r="D13" s="85"/>
      <c r="E13" s="280"/>
      <c r="F13" s="280">
        <f>SUM(F8:F12)</f>
        <v>0</v>
      </c>
      <c r="G13" s="280"/>
      <c r="H13" s="280"/>
      <c r="I13" s="280">
        <f>SUM(I8:I12)</f>
        <v>0</v>
      </c>
      <c r="J13" s="280"/>
      <c r="K13" s="86"/>
      <c r="L13" s="86"/>
      <c r="M13" s="86"/>
      <c r="N13" s="86"/>
      <c r="O13" s="86"/>
      <c r="P13" s="86"/>
      <c r="Q13" s="18"/>
      <c r="R13" s="18"/>
    </row>
    <row r="14" spans="1:18" ht="12.75" customHeight="1">
      <c r="A14" s="85"/>
      <c r="B14" s="1"/>
      <c r="C14" s="1"/>
      <c r="D14" s="85"/>
      <c r="E14" s="280"/>
      <c r="F14" s="280"/>
      <c r="G14" s="280"/>
      <c r="H14" s="280"/>
      <c r="I14" s="280"/>
      <c r="J14" s="280"/>
      <c r="K14" s="86"/>
      <c r="L14" s="86"/>
      <c r="M14" s="86"/>
      <c r="N14" s="86"/>
      <c r="O14" s="86"/>
      <c r="P14" s="86"/>
      <c r="Q14" s="18"/>
      <c r="R14" s="18"/>
    </row>
    <row r="15" spans="1:18" ht="12.75" customHeight="1">
      <c r="A15" s="85"/>
      <c r="B15" s="1" t="s">
        <v>251</v>
      </c>
      <c r="C15" s="85"/>
      <c r="D15" s="85"/>
      <c r="E15" s="148"/>
      <c r="F15" s="280"/>
      <c r="G15" s="280"/>
      <c r="H15" s="280"/>
      <c r="I15" s="280"/>
      <c r="J15" s="148"/>
      <c r="K15" s="87"/>
      <c r="L15" s="87"/>
      <c r="M15" s="87"/>
      <c r="N15" s="87"/>
      <c r="O15" s="87"/>
      <c r="P15" s="87"/>
      <c r="Q15" s="19"/>
      <c r="R15" s="19"/>
    </row>
    <row r="16" spans="1:18" ht="12.75" customHeight="1">
      <c r="A16" s="85"/>
      <c r="B16" s="85"/>
      <c r="C16" s="85" t="str">
        <f>'1. Required Start-Up Funds'!C8</f>
        <v>Real Estate-Land</v>
      </c>
      <c r="D16" s="85"/>
      <c r="E16" s="148"/>
      <c r="F16" s="280">
        <f>'10. Balance Sheet'!I16</f>
        <v>0</v>
      </c>
      <c r="G16" s="280"/>
      <c r="H16" s="280"/>
      <c r="I16" s="280">
        <f>F16+'1. Required Start-Up Funds'!G8</f>
        <v>0</v>
      </c>
      <c r="J16" s="148"/>
      <c r="K16" s="87"/>
      <c r="L16" s="87"/>
      <c r="M16" s="87"/>
      <c r="N16" s="87"/>
      <c r="O16" s="87"/>
      <c r="P16" s="87"/>
      <c r="Q16" s="19"/>
      <c r="R16" s="19"/>
    </row>
    <row r="17" spans="1:18" ht="12.75" customHeight="1">
      <c r="A17" s="85"/>
      <c r="B17" s="85"/>
      <c r="C17" s="85" t="str">
        <f>'1. Required Start-Up Funds'!C9</f>
        <v>Buildings</v>
      </c>
      <c r="D17" s="85"/>
      <c r="E17" s="280"/>
      <c r="F17" s="280">
        <f>'10. Balance Sheet'!I17</f>
        <v>0</v>
      </c>
      <c r="G17" s="280"/>
      <c r="H17" s="280"/>
      <c r="I17" s="280">
        <f>F17+'1. Required Start-Up Funds'!G9</f>
        <v>0</v>
      </c>
      <c r="J17" s="280"/>
      <c r="K17" s="86"/>
      <c r="L17" s="86"/>
      <c r="M17" s="86"/>
      <c r="N17" s="86"/>
      <c r="O17" s="86"/>
      <c r="P17" s="86"/>
      <c r="Q17" s="18"/>
      <c r="R17" s="18"/>
    </row>
    <row r="18" spans="1:18" ht="12.75" customHeight="1">
      <c r="A18" s="85"/>
      <c r="B18" s="85"/>
      <c r="C18" s="85" t="str">
        <f>'1. Required Start-Up Funds'!C10</f>
        <v>Leasehold Improvements</v>
      </c>
      <c r="D18" s="85"/>
      <c r="E18" s="280"/>
      <c r="F18" s="280">
        <f>'10. Balance Sheet'!I18</f>
        <v>0</v>
      </c>
      <c r="G18" s="280"/>
      <c r="H18" s="280"/>
      <c r="I18" s="280">
        <f>F18+'1. Required Start-Up Funds'!G10</f>
        <v>0</v>
      </c>
      <c r="J18" s="280"/>
      <c r="K18" s="86"/>
      <c r="L18" s="86"/>
      <c r="M18" s="86"/>
      <c r="N18" s="86"/>
      <c r="O18" s="86"/>
      <c r="P18" s="86"/>
      <c r="Q18" s="18"/>
      <c r="R18" s="18"/>
    </row>
    <row r="19" spans="1:18" ht="12.75" customHeight="1">
      <c r="A19" s="85"/>
      <c r="B19" s="85"/>
      <c r="C19" s="85" t="str">
        <f>'1. Required Start-Up Funds'!C11</f>
        <v>Equipment</v>
      </c>
      <c r="D19" s="85"/>
      <c r="E19" s="148"/>
      <c r="F19" s="280">
        <f>'10. Balance Sheet'!I19</f>
        <v>0</v>
      </c>
      <c r="G19" s="280"/>
      <c r="H19" s="280"/>
      <c r="I19" s="280">
        <f>F19+'1. Required Start-Up Funds'!G11</f>
        <v>0</v>
      </c>
      <c r="J19" s="148"/>
      <c r="K19" s="87"/>
      <c r="L19" s="87"/>
      <c r="M19" s="87"/>
      <c r="N19" s="87"/>
      <c r="O19" s="87"/>
      <c r="P19" s="87"/>
      <c r="Q19" s="19"/>
      <c r="R19" s="19"/>
    </row>
    <row r="20" spans="1:18" ht="12.75" customHeight="1">
      <c r="A20" s="85"/>
      <c r="B20" s="85"/>
      <c r="C20" s="85" t="str">
        <f>'1. Required Start-Up Funds'!C12</f>
        <v>Furniture and Fixtures</v>
      </c>
      <c r="D20" s="85"/>
      <c r="E20" s="148"/>
      <c r="F20" s="280">
        <f>'10. Balance Sheet'!I20</f>
        <v>0</v>
      </c>
      <c r="G20" s="280"/>
      <c r="H20" s="280"/>
      <c r="I20" s="280">
        <f>F20+'1. Required Start-Up Funds'!G12</f>
        <v>0</v>
      </c>
      <c r="J20" s="148"/>
      <c r="K20" s="87"/>
      <c r="L20" s="87"/>
      <c r="M20" s="87"/>
      <c r="N20" s="87"/>
      <c r="O20" s="87"/>
      <c r="P20" s="87"/>
      <c r="Q20" s="19"/>
      <c r="R20" s="19"/>
    </row>
    <row r="21" spans="1:18" ht="12.75" customHeight="1">
      <c r="A21" s="85"/>
      <c r="B21" s="85"/>
      <c r="C21" s="85" t="str">
        <f>'1. Required Start-Up Funds'!C13</f>
        <v>Vehicles</v>
      </c>
      <c r="D21" s="85"/>
      <c r="E21" s="148"/>
      <c r="F21" s="280">
        <f>'10. Balance Sheet'!I21</f>
        <v>0</v>
      </c>
      <c r="G21" s="280"/>
      <c r="H21" s="280"/>
      <c r="I21" s="280">
        <f>F21+'1. Required Start-Up Funds'!G13</f>
        <v>0</v>
      </c>
      <c r="J21" s="148"/>
      <c r="K21" s="87"/>
      <c r="L21" s="87"/>
      <c r="M21" s="87"/>
      <c r="N21" s="87"/>
      <c r="O21" s="87"/>
      <c r="P21" s="87"/>
      <c r="Q21" s="19"/>
      <c r="R21" s="19"/>
    </row>
    <row r="22" spans="1:18" ht="12.75" customHeight="1" thickBot="1">
      <c r="A22" s="85"/>
      <c r="B22" s="85"/>
      <c r="C22" s="85" t="str">
        <f>'1. Required Start-Up Funds'!C14</f>
        <v>Other Fixed Assets</v>
      </c>
      <c r="D22" s="85"/>
      <c r="E22" s="280"/>
      <c r="F22" s="281">
        <f>'10. Balance Sheet'!I22</f>
        <v>0</v>
      </c>
      <c r="G22" s="280"/>
      <c r="H22" s="280"/>
      <c r="I22" s="281">
        <f>F22+'1. Required Start-Up Funds'!G14</f>
        <v>0</v>
      </c>
      <c r="J22" s="280"/>
      <c r="K22" s="86"/>
      <c r="L22" s="86"/>
      <c r="M22" s="86"/>
      <c r="N22" s="86"/>
      <c r="O22" s="86"/>
      <c r="P22" s="86"/>
      <c r="Q22" s="18"/>
      <c r="R22" s="18"/>
    </row>
    <row r="23" spans="1:18" ht="12.75" customHeight="1">
      <c r="A23" s="85"/>
      <c r="B23" s="85" t="s">
        <v>258</v>
      </c>
      <c r="C23" s="85"/>
      <c r="D23" s="85"/>
      <c r="E23" s="280"/>
      <c r="F23" s="280">
        <f>SUM(F16:F22)</f>
        <v>0</v>
      </c>
      <c r="G23" s="280"/>
      <c r="H23" s="280"/>
      <c r="I23" s="280">
        <f>SUM(I16:I22)</f>
        <v>0</v>
      </c>
      <c r="J23" s="280"/>
      <c r="K23" s="86"/>
      <c r="L23" s="86"/>
      <c r="M23" s="86"/>
      <c r="N23" s="86"/>
      <c r="O23" s="86"/>
      <c r="P23" s="86"/>
      <c r="Q23" s="18"/>
      <c r="R23" s="18"/>
    </row>
    <row r="24" spans="1:18" ht="12.75" customHeight="1">
      <c r="A24" s="1"/>
      <c r="B24" s="1" t="s">
        <v>203</v>
      </c>
      <c r="C24" s="1"/>
      <c r="D24" s="1"/>
      <c r="E24" s="85"/>
      <c r="F24" s="280">
        <f>'10. Balance Sheet'!I24</f>
        <v>0</v>
      </c>
      <c r="G24" s="280"/>
      <c r="H24" s="280"/>
      <c r="I24" s="280">
        <f>F24+'12. Income Statement (2)'!Q65</f>
        <v>0</v>
      </c>
      <c r="J24" s="85"/>
      <c r="K24" s="82"/>
      <c r="L24" s="82"/>
      <c r="M24" s="82"/>
      <c r="N24" s="82"/>
      <c r="O24" s="82"/>
      <c r="P24" s="82"/>
      <c r="Q24" s="17"/>
      <c r="R24" s="17"/>
    </row>
    <row r="25" spans="1:18" ht="12.75" customHeight="1" thickBot="1">
      <c r="A25" s="1"/>
      <c r="B25" s="1"/>
      <c r="C25" s="1"/>
      <c r="D25" s="1"/>
      <c r="E25" s="85"/>
      <c r="F25" s="281"/>
      <c r="G25" s="280"/>
      <c r="H25" s="280"/>
      <c r="I25" s="281"/>
      <c r="J25" s="85"/>
      <c r="K25" s="82"/>
      <c r="L25" s="82"/>
      <c r="M25" s="82"/>
      <c r="N25" s="82"/>
      <c r="O25" s="82"/>
      <c r="P25" s="82"/>
      <c r="Q25" s="17"/>
      <c r="R25" s="17"/>
    </row>
    <row r="26" spans="1:18" ht="15.75" customHeight="1" thickBot="1">
      <c r="A26" s="1" t="s">
        <v>204</v>
      </c>
      <c r="B26" s="1"/>
      <c r="C26" s="1"/>
      <c r="D26" s="1"/>
      <c r="E26" s="85"/>
      <c r="F26" s="282">
        <f>INT(F13+F23-F24)</f>
        <v>0</v>
      </c>
      <c r="G26" s="280"/>
      <c r="H26" s="280"/>
      <c r="I26" s="282">
        <f>INT(I13+I23-I24)</f>
        <v>0</v>
      </c>
      <c r="J26" s="85"/>
      <c r="K26" s="82"/>
      <c r="L26" s="82"/>
      <c r="M26" s="82"/>
      <c r="N26" s="82"/>
      <c r="O26" s="82"/>
      <c r="P26" s="82"/>
      <c r="Q26" s="17"/>
      <c r="R26" s="17"/>
    </row>
    <row r="27" spans="1:18" ht="12.75" customHeight="1" thickTop="1">
      <c r="A27" s="1"/>
      <c r="B27" s="1"/>
      <c r="C27" s="1"/>
      <c r="D27" s="1"/>
      <c r="E27" s="85"/>
      <c r="F27" s="280"/>
      <c r="G27" s="280"/>
      <c r="H27" s="280"/>
      <c r="I27" s="280"/>
      <c r="J27" s="85"/>
      <c r="K27" s="82"/>
      <c r="L27" s="82"/>
      <c r="M27" s="82"/>
      <c r="N27" s="82"/>
      <c r="O27" s="82"/>
      <c r="P27" s="82"/>
      <c r="Q27" s="17"/>
      <c r="R27" s="17"/>
    </row>
    <row r="28" spans="1:18" ht="12.75" customHeight="1">
      <c r="A28" s="1" t="s">
        <v>205</v>
      </c>
      <c r="B28" s="1"/>
      <c r="C28" s="1"/>
      <c r="D28" s="1"/>
      <c r="E28" s="85"/>
      <c r="F28" s="280"/>
      <c r="G28" s="280"/>
      <c r="H28" s="280"/>
      <c r="I28" s="280"/>
      <c r="J28" s="85"/>
      <c r="K28" s="82"/>
      <c r="L28" s="82"/>
      <c r="M28" s="82"/>
      <c r="N28" s="82"/>
      <c r="O28" s="82"/>
      <c r="P28" s="82"/>
      <c r="Q28" s="17"/>
      <c r="R28" s="17"/>
    </row>
    <row r="29" spans="1:18" ht="12.75" customHeight="1">
      <c r="A29" s="1"/>
      <c r="B29" s="1" t="s">
        <v>209</v>
      </c>
      <c r="C29" s="1"/>
      <c r="D29" s="1"/>
      <c r="E29" s="85"/>
      <c r="F29" s="280"/>
      <c r="G29" s="280"/>
      <c r="H29" s="280"/>
      <c r="I29" s="280"/>
      <c r="J29" s="85"/>
      <c r="K29" s="82"/>
      <c r="L29" s="82"/>
      <c r="M29" s="82"/>
      <c r="N29" s="82"/>
      <c r="O29" s="82"/>
      <c r="P29" s="82"/>
      <c r="Q29" s="17"/>
      <c r="R29" s="17"/>
    </row>
    <row r="30" spans="1:18" ht="12.75" customHeight="1">
      <c r="A30" s="1"/>
      <c r="B30" s="1"/>
      <c r="C30" s="1" t="s">
        <v>206</v>
      </c>
      <c r="D30" s="1"/>
      <c r="E30" s="280"/>
      <c r="F30" s="280">
        <f>'10. Balance Sheet'!I30</f>
        <v>0</v>
      </c>
      <c r="G30" s="280"/>
      <c r="H30" s="280"/>
      <c r="I30" s="280">
        <f>F30+'12. Income Statement (2)'!Q26-'13. Cash Flow Statement (2)'!Q21</f>
        <v>0</v>
      </c>
      <c r="J30" s="280"/>
      <c r="K30" s="86"/>
      <c r="L30" s="86"/>
      <c r="M30" s="86"/>
      <c r="N30" s="86"/>
      <c r="O30" s="86"/>
      <c r="P30" s="86"/>
      <c r="Q30" s="18"/>
      <c r="R30" s="18"/>
    </row>
    <row r="31" spans="1:18" ht="12.75" customHeight="1">
      <c r="A31" s="1"/>
      <c r="B31" s="1"/>
      <c r="C31" s="1" t="s">
        <v>207</v>
      </c>
      <c r="D31" s="1"/>
      <c r="E31" s="148"/>
      <c r="F31" s="280">
        <f>'10. Balance Sheet'!I31</f>
        <v>0</v>
      </c>
      <c r="G31" s="280"/>
      <c r="H31" s="280"/>
      <c r="I31" s="280">
        <f>'20. Debt Amoritization Schedule'!R21+'7. Beginning Balance Sheet'!F36</f>
        <v>0</v>
      </c>
      <c r="J31" s="148"/>
      <c r="K31" s="87"/>
      <c r="L31" s="87"/>
      <c r="M31" s="87"/>
      <c r="N31" s="87"/>
      <c r="O31" s="87"/>
      <c r="P31" s="87"/>
      <c r="Q31" s="19"/>
      <c r="R31" s="17"/>
    </row>
    <row r="32" spans="1:18" ht="12.75" customHeight="1">
      <c r="A32" s="1"/>
      <c r="B32" s="1"/>
      <c r="C32" s="1" t="str">
        <f>+'1. Required Start-Up Funds'!$C$46</f>
        <v>Commercial Mortgage</v>
      </c>
      <c r="D32" s="1"/>
      <c r="E32" s="85"/>
      <c r="F32" s="280">
        <f>'10. Balance Sheet'!I32</f>
        <v>0</v>
      </c>
      <c r="G32" s="280"/>
      <c r="H32" s="280"/>
      <c r="I32" s="280">
        <f>'20. Debt Amoritization Schedule'!R41+'7. Beginning Balance Sheet'!F37</f>
        <v>0</v>
      </c>
      <c r="J32" s="85"/>
      <c r="K32" s="82"/>
      <c r="L32" s="82"/>
      <c r="M32" s="82"/>
      <c r="N32" s="82"/>
      <c r="O32" s="82"/>
      <c r="P32" s="82"/>
      <c r="Q32" s="17"/>
      <c r="R32" s="17"/>
    </row>
    <row r="33" spans="1:18" ht="12.75" customHeight="1">
      <c r="A33" s="1"/>
      <c r="B33" s="1"/>
      <c r="C33" s="1" t="str">
        <f>+'1. Required Start-Up Funds'!$C$47</f>
        <v>Credit Card Debt</v>
      </c>
      <c r="D33" s="1"/>
      <c r="E33" s="85"/>
      <c r="F33" s="280">
        <f>'10. Balance Sheet'!I33</f>
        <v>0</v>
      </c>
      <c r="G33" s="280"/>
      <c r="H33" s="280"/>
      <c r="I33" s="280">
        <f>'20. Debt Amoritization Schedule'!R61+'7. Beginning Balance Sheet'!F38</f>
        <v>0</v>
      </c>
      <c r="J33" s="85"/>
      <c r="K33" s="82"/>
      <c r="L33" s="82"/>
      <c r="M33" s="82"/>
      <c r="N33" s="82"/>
      <c r="O33" s="82"/>
      <c r="P33" s="82"/>
      <c r="Q33" s="17"/>
      <c r="R33" s="17"/>
    </row>
    <row r="34" spans="1:18" ht="12.75" customHeight="1">
      <c r="A34" s="1"/>
      <c r="B34" s="1"/>
      <c r="C34" s="1" t="str">
        <f>+'1. Required Start-Up Funds'!$C$48</f>
        <v>Vehicle Loans</v>
      </c>
      <c r="D34" s="1"/>
      <c r="E34" s="85"/>
      <c r="F34" s="280">
        <f>'10. Balance Sheet'!I34</f>
        <v>0</v>
      </c>
      <c r="G34" s="280"/>
      <c r="H34" s="280"/>
      <c r="I34" s="280">
        <f>'20. Debt Amoritization Schedule'!R81+'7. Beginning Balance Sheet'!F39</f>
        <v>0</v>
      </c>
      <c r="J34" s="85"/>
      <c r="K34" s="82"/>
      <c r="L34" s="82"/>
      <c r="M34" s="82"/>
      <c r="N34" s="82"/>
      <c r="O34" s="82"/>
      <c r="P34" s="82"/>
      <c r="Q34" s="17"/>
      <c r="R34" s="17"/>
    </row>
    <row r="35" spans="1:18" ht="12.75" customHeight="1">
      <c r="A35" s="1"/>
      <c r="B35" s="1"/>
      <c r="C35" s="1" t="str">
        <f>+'1. Required Start-Up Funds'!$C$44</f>
        <v>Other Debt</v>
      </c>
      <c r="D35" s="1"/>
      <c r="E35" s="85"/>
      <c r="F35" s="280">
        <f>'10. Balance Sheet'!I35</f>
        <v>0</v>
      </c>
      <c r="G35" s="280"/>
      <c r="H35" s="280"/>
      <c r="I35" s="280">
        <f>'20. Debt Amoritization Schedule'!R101+'7. Beginning Balance Sheet'!F40</f>
        <v>0</v>
      </c>
      <c r="J35" s="85"/>
      <c r="K35" s="82"/>
      <c r="L35" s="82"/>
      <c r="M35" s="82"/>
      <c r="N35" s="82"/>
      <c r="O35" s="82"/>
      <c r="P35" s="82"/>
      <c r="Q35" s="17"/>
      <c r="R35" s="17"/>
    </row>
    <row r="36" spans="1:18" ht="12.75" customHeight="1" thickBot="1">
      <c r="A36" s="1"/>
      <c r="B36" s="1"/>
      <c r="C36" s="1" t="s">
        <v>194</v>
      </c>
      <c r="D36" s="1"/>
      <c r="E36" s="85"/>
      <c r="F36" s="281">
        <f>'10. Balance Sheet'!I36</f>
        <v>0</v>
      </c>
      <c r="G36" s="280"/>
      <c r="H36" s="280"/>
      <c r="I36" s="281">
        <f>'13. Cash Flow Statement (2)'!P42+'7. Beginning Balance Sheet'!F38</f>
        <v>0</v>
      </c>
      <c r="J36" s="85"/>
      <c r="K36" s="82"/>
      <c r="L36" s="82"/>
      <c r="M36" s="82"/>
      <c r="N36" s="82"/>
      <c r="O36" s="82"/>
      <c r="P36" s="82"/>
      <c r="Q36" s="17"/>
      <c r="R36" s="17"/>
    </row>
    <row r="37" spans="1:18" ht="12.75" customHeight="1">
      <c r="A37" s="1"/>
      <c r="B37" s="1" t="s">
        <v>210</v>
      </c>
      <c r="C37" s="1"/>
      <c r="D37" s="1"/>
      <c r="E37" s="85"/>
      <c r="F37" s="280">
        <f>SUM(F30:F36)</f>
        <v>0</v>
      </c>
      <c r="G37" s="280"/>
      <c r="H37" s="280"/>
      <c r="I37" s="280">
        <f>SUM(I30:I36)</f>
        <v>0</v>
      </c>
      <c r="J37" s="85"/>
      <c r="K37" s="82"/>
      <c r="L37" s="82"/>
      <c r="M37" s="82"/>
      <c r="N37" s="82"/>
      <c r="O37" s="82"/>
      <c r="P37" s="82"/>
      <c r="Q37" s="17"/>
      <c r="R37" s="17"/>
    </row>
    <row r="38" spans="1:18" ht="12.75" customHeight="1">
      <c r="A38" s="1"/>
      <c r="B38" s="1"/>
      <c r="C38" s="1"/>
      <c r="D38" s="1"/>
      <c r="E38" s="1"/>
      <c r="F38" s="269"/>
      <c r="G38" s="269"/>
      <c r="H38" s="269"/>
      <c r="I38" s="269"/>
      <c r="J38" s="1"/>
      <c r="K38" s="37"/>
      <c r="L38" s="37"/>
      <c r="M38" s="37"/>
      <c r="N38" s="37"/>
      <c r="O38" s="37"/>
      <c r="P38" s="37"/>
      <c r="Q38" s="7"/>
      <c r="R38" s="7"/>
    </row>
    <row r="39" spans="1:18" ht="12.75" customHeight="1">
      <c r="A39" s="1"/>
      <c r="B39" s="1" t="s">
        <v>211</v>
      </c>
      <c r="C39" s="1"/>
      <c r="D39" s="1"/>
      <c r="E39" s="1"/>
      <c r="F39" s="269"/>
      <c r="G39" s="269"/>
      <c r="H39" s="269"/>
      <c r="I39" s="269"/>
      <c r="J39" s="1"/>
      <c r="K39" s="37"/>
      <c r="L39" s="37"/>
      <c r="M39" s="37"/>
      <c r="N39" s="37"/>
      <c r="O39" s="37"/>
      <c r="P39" s="37"/>
      <c r="Q39" s="7"/>
      <c r="R39" s="7"/>
    </row>
    <row r="40" spans="1:18" ht="12.75" customHeight="1">
      <c r="A40" s="1"/>
      <c r="B40" s="1"/>
      <c r="C40" s="1" t="str">
        <f>+'1. Required Start-Up Funds'!B41</f>
        <v>Owner's Equity</v>
      </c>
      <c r="D40" s="1"/>
      <c r="E40" s="1"/>
      <c r="F40" s="269">
        <f>'10. Balance Sheet'!I40</f>
        <v>0</v>
      </c>
      <c r="G40" s="269"/>
      <c r="H40" s="269"/>
      <c r="I40" s="269">
        <f>F40</f>
        <v>0</v>
      </c>
      <c r="J40" s="1"/>
      <c r="K40" s="37"/>
      <c r="L40" s="37"/>
      <c r="M40" s="37"/>
      <c r="N40" s="37"/>
      <c r="O40" s="37"/>
      <c r="P40" s="37"/>
      <c r="Q40" s="7"/>
      <c r="R40" s="7"/>
    </row>
    <row r="41" spans="1:18" ht="12.75" customHeight="1">
      <c r="A41" s="1"/>
      <c r="B41" s="1"/>
      <c r="C41" s="1" t="str">
        <f>+'1. Required Start-Up Funds'!B42</f>
        <v>Outside Investors</v>
      </c>
      <c r="D41" s="1"/>
      <c r="E41" s="1"/>
      <c r="F41" s="269">
        <f>'10. Balance Sheet'!I41</f>
        <v>0</v>
      </c>
      <c r="G41" s="269"/>
      <c r="H41" s="269"/>
      <c r="I41" s="269">
        <f>F41+'13. Cash Flow Statement (2)'!Q13</f>
        <v>0</v>
      </c>
      <c r="J41" s="1"/>
      <c r="K41" s="37"/>
      <c r="L41" s="37"/>
      <c r="M41" s="37"/>
      <c r="N41" s="37"/>
      <c r="O41" s="37"/>
      <c r="P41" s="37"/>
      <c r="Q41" s="7"/>
      <c r="R41" s="7"/>
    </row>
    <row r="42" spans="1:18" ht="12.75" customHeight="1">
      <c r="A42" s="1"/>
      <c r="B42" s="1"/>
      <c r="C42" s="1" t="s">
        <v>213</v>
      </c>
      <c r="D42" s="1"/>
      <c r="E42" s="1"/>
      <c r="F42" s="269">
        <f>'10. Balance Sheet'!I42</f>
        <v>0</v>
      </c>
      <c r="G42" s="269"/>
      <c r="H42" s="269"/>
      <c r="I42" s="269">
        <f>F42+'12. Income Statement (2)'!Q76</f>
        <v>0</v>
      </c>
      <c r="J42" s="1"/>
      <c r="K42" s="37"/>
      <c r="L42" s="37"/>
      <c r="M42" s="37"/>
      <c r="N42" s="37"/>
      <c r="O42" s="37"/>
      <c r="P42" s="37"/>
      <c r="Q42" s="7"/>
      <c r="R42" s="7"/>
    </row>
    <row r="43" spans="1:18" ht="12.75" customHeight="1" thickBot="1">
      <c r="A43" s="1"/>
      <c r="B43" s="1"/>
      <c r="C43" s="1" t="s">
        <v>214</v>
      </c>
      <c r="D43" s="1"/>
      <c r="E43" s="1"/>
      <c r="F43" s="281">
        <f>'10. Balance Sheet'!I43</f>
        <v>0</v>
      </c>
      <c r="G43" s="280"/>
      <c r="H43" s="269"/>
      <c r="I43" s="281">
        <f>F43-'13. Cash Flow Statement (2)'!Q30</f>
        <v>0</v>
      </c>
      <c r="J43" s="1"/>
      <c r="K43" s="37"/>
      <c r="L43" s="37"/>
      <c r="M43" s="37"/>
      <c r="N43" s="37"/>
      <c r="O43" s="37"/>
      <c r="P43" s="37"/>
      <c r="Q43" s="7"/>
      <c r="R43" s="7"/>
    </row>
    <row r="44" spans="1:18" ht="12.75" customHeight="1">
      <c r="A44" s="1"/>
      <c r="B44" s="1" t="s">
        <v>215</v>
      </c>
      <c r="C44" s="1"/>
      <c r="D44" s="1"/>
      <c r="E44" s="1"/>
      <c r="F44" s="269">
        <f>SUM(F40:F43)</f>
        <v>0</v>
      </c>
      <c r="G44" s="269"/>
      <c r="H44" s="269"/>
      <c r="I44" s="269">
        <f>SUM(I40:I43)</f>
        <v>0</v>
      </c>
      <c r="J44" s="1"/>
      <c r="K44" s="37"/>
      <c r="L44" s="37"/>
      <c r="M44" s="37"/>
      <c r="N44" s="37"/>
      <c r="O44" s="37"/>
      <c r="P44" s="37"/>
    </row>
    <row r="45" spans="1:18" ht="12.75" customHeight="1" thickBot="1">
      <c r="A45" s="1"/>
      <c r="B45" s="1"/>
      <c r="C45" s="1"/>
      <c r="D45" s="1"/>
      <c r="E45" s="1"/>
      <c r="F45" s="281"/>
      <c r="G45" s="280"/>
      <c r="H45" s="269"/>
      <c r="I45" s="281"/>
      <c r="J45" s="1"/>
      <c r="K45" s="37"/>
      <c r="L45" s="37"/>
      <c r="M45" s="37"/>
      <c r="N45" s="37"/>
      <c r="O45" s="37"/>
      <c r="P45" s="37"/>
    </row>
    <row r="46" spans="1:18" ht="15.75" customHeight="1" thickBot="1">
      <c r="A46" s="1" t="s">
        <v>235</v>
      </c>
      <c r="B46" s="1"/>
      <c r="C46" s="1"/>
      <c r="D46" s="1"/>
      <c r="E46" s="1"/>
      <c r="F46" s="282">
        <f>INT(F37+F44)</f>
        <v>0</v>
      </c>
      <c r="G46" s="280"/>
      <c r="H46" s="269"/>
      <c r="I46" s="282">
        <f>INT(I37+I44)</f>
        <v>0</v>
      </c>
      <c r="J46" s="1"/>
      <c r="K46" s="37"/>
      <c r="L46" s="37"/>
      <c r="M46" s="37"/>
      <c r="N46" s="37"/>
      <c r="O46" s="37"/>
      <c r="P46" s="37"/>
    </row>
    <row r="47" spans="1:18" ht="12.75" customHeight="1" thickTop="1">
      <c r="A47" s="1"/>
      <c r="B47" s="1"/>
      <c r="C47" s="1"/>
      <c r="D47" s="1"/>
      <c r="E47" s="1"/>
      <c r="F47" s="1"/>
      <c r="G47" s="1"/>
      <c r="H47" s="1"/>
      <c r="I47" s="1"/>
      <c r="J47" s="1"/>
      <c r="K47" s="37"/>
      <c r="L47" s="37"/>
      <c r="M47" s="37"/>
      <c r="N47" s="37"/>
      <c r="O47" s="37"/>
      <c r="P47" s="37"/>
    </row>
    <row r="48" spans="1:18" ht="12.75" customHeight="1">
      <c r="A48" s="1"/>
      <c r="B48" s="1"/>
      <c r="C48" s="1"/>
      <c r="D48" s="1"/>
      <c r="E48" s="1"/>
      <c r="F48" s="1"/>
      <c r="G48" s="1"/>
      <c r="H48" s="1"/>
      <c r="I48" s="1"/>
      <c r="J48" s="1"/>
      <c r="K48" s="37"/>
      <c r="L48" s="37"/>
      <c r="M48" s="37"/>
      <c r="N48" s="37"/>
      <c r="O48" s="37"/>
      <c r="P48" s="37"/>
    </row>
    <row r="49" spans="1:18" ht="12.75" customHeight="1">
      <c r="A49" s="1"/>
      <c r="B49" s="1"/>
      <c r="C49" s="1"/>
      <c r="D49" s="1"/>
      <c r="E49" s="1"/>
      <c r="F49" s="39" t="str">
        <f>IF(F26=F46,"Statement Balances","Does Not Balance")</f>
        <v>Statement Balances</v>
      </c>
      <c r="G49" s="1"/>
      <c r="H49" s="1"/>
      <c r="I49" s="39" t="str">
        <f>IF(I26-I46=0,"Statement Balances","Does Not Balance")</f>
        <v>Statement Balances</v>
      </c>
      <c r="J49" s="1"/>
      <c r="K49" s="91"/>
      <c r="L49" s="37"/>
      <c r="M49" s="37"/>
      <c r="N49" s="37"/>
      <c r="O49" s="37"/>
      <c r="P49" s="37"/>
    </row>
    <row r="50" spans="1:18" ht="12.75" customHeight="1">
      <c r="A50" s="1"/>
      <c r="B50" s="1"/>
      <c r="C50" s="1"/>
      <c r="D50" s="1"/>
      <c r="E50" s="1"/>
      <c r="F50" s="1"/>
      <c r="G50" s="1"/>
      <c r="H50" s="1"/>
      <c r="I50" s="1"/>
      <c r="J50" s="1"/>
      <c r="K50" s="37"/>
      <c r="L50" s="37"/>
      <c r="M50" s="37"/>
      <c r="N50" s="37"/>
      <c r="O50" s="37"/>
      <c r="P50" s="37"/>
    </row>
    <row r="51" spans="1:18" ht="12.75" customHeight="1">
      <c r="A51" s="1"/>
      <c r="B51" s="1"/>
      <c r="C51" s="1"/>
      <c r="D51" s="37"/>
      <c r="E51" s="37"/>
      <c r="F51" s="37"/>
      <c r="G51" s="37"/>
      <c r="H51" s="37"/>
      <c r="I51" s="37"/>
      <c r="J51" s="37"/>
      <c r="K51" s="37"/>
      <c r="L51" s="37"/>
      <c r="M51" s="37"/>
      <c r="N51" s="37"/>
      <c r="O51" s="37"/>
      <c r="P51" s="37"/>
    </row>
    <row r="52" spans="1:18" ht="12.75" customHeight="1"/>
    <row r="53" spans="1:18" ht="12.75" customHeight="1"/>
    <row r="54" spans="1:18" ht="12.75" customHeight="1">
      <c r="E54" s="14"/>
      <c r="F54" s="14"/>
      <c r="G54" s="14"/>
      <c r="H54" s="14"/>
      <c r="I54" s="14"/>
      <c r="J54" s="14"/>
      <c r="K54" s="14"/>
      <c r="L54" s="14"/>
      <c r="M54" s="14"/>
      <c r="N54" s="14"/>
      <c r="O54" s="14"/>
      <c r="P54" s="14"/>
      <c r="Q54" s="14"/>
      <c r="R54" s="14"/>
    </row>
    <row r="55" spans="1:18" ht="12.75" customHeight="1">
      <c r="E55" s="14"/>
      <c r="F55" s="14"/>
      <c r="G55" s="14"/>
      <c r="H55" s="14"/>
      <c r="I55" s="14"/>
      <c r="J55" s="14"/>
      <c r="K55" s="14"/>
      <c r="L55" s="14"/>
      <c r="M55" s="14"/>
      <c r="N55" s="14"/>
      <c r="O55" s="14"/>
      <c r="P55" s="14"/>
      <c r="Q55" s="14"/>
      <c r="R55" s="14"/>
    </row>
    <row r="56" spans="1:18" ht="12.75" customHeight="1">
      <c r="E56" s="14"/>
      <c r="F56" s="14"/>
      <c r="G56" s="14"/>
      <c r="H56" s="14"/>
      <c r="I56" s="14"/>
      <c r="J56" s="14"/>
      <c r="K56" s="14"/>
      <c r="L56" s="14"/>
      <c r="M56" s="14"/>
      <c r="N56" s="14"/>
      <c r="O56" s="14"/>
      <c r="P56" s="14"/>
      <c r="Q56" s="14"/>
      <c r="R56" s="14"/>
    </row>
    <row r="57" spans="1:18" ht="12.75" customHeight="1">
      <c r="D57" s="7"/>
      <c r="E57" s="14"/>
      <c r="F57" s="14"/>
      <c r="G57" s="14"/>
      <c r="H57" s="14"/>
      <c r="I57" s="14"/>
      <c r="J57" s="14"/>
      <c r="K57" s="14"/>
      <c r="L57" s="14"/>
      <c r="M57" s="14"/>
      <c r="N57" s="14"/>
      <c r="O57" s="14"/>
      <c r="P57" s="14"/>
      <c r="Q57" s="14"/>
      <c r="R57" s="14"/>
    </row>
    <row r="58" spans="1:18" ht="12.75" customHeight="1">
      <c r="D58" s="7"/>
      <c r="E58" s="14"/>
      <c r="F58" s="14"/>
      <c r="G58" s="14"/>
      <c r="H58" s="14"/>
      <c r="I58" s="14"/>
      <c r="J58" s="14"/>
      <c r="K58" s="14"/>
      <c r="L58" s="14"/>
      <c r="M58" s="14"/>
      <c r="N58" s="14"/>
      <c r="O58" s="14"/>
      <c r="P58" s="14"/>
      <c r="Q58" s="14"/>
      <c r="R58" s="14"/>
    </row>
    <row r="59" spans="1:18" ht="12.75" customHeight="1">
      <c r="D59" s="7"/>
      <c r="E59" s="14"/>
      <c r="F59" s="14"/>
      <c r="G59" s="14"/>
      <c r="H59" s="14"/>
      <c r="I59" s="14"/>
      <c r="J59" s="14"/>
      <c r="K59" s="14"/>
      <c r="L59" s="14"/>
      <c r="M59" s="14"/>
      <c r="N59" s="14"/>
      <c r="O59" s="14"/>
      <c r="P59" s="14"/>
      <c r="Q59" s="14"/>
      <c r="R59" s="14"/>
    </row>
    <row r="60" spans="1:18" ht="12.75" customHeight="1">
      <c r="D60" s="7"/>
      <c r="E60" s="14"/>
      <c r="F60" s="14"/>
      <c r="G60" s="14"/>
      <c r="H60" s="14"/>
      <c r="I60" s="14"/>
      <c r="J60" s="14"/>
      <c r="K60" s="14"/>
      <c r="L60" s="14"/>
      <c r="M60" s="14"/>
      <c r="N60" s="14"/>
      <c r="O60" s="14"/>
      <c r="P60" s="14"/>
      <c r="Q60" s="14"/>
      <c r="R60" s="14"/>
    </row>
    <row r="61" spans="1:18" ht="12.75" customHeight="1">
      <c r="D61" s="7"/>
      <c r="E61" s="14"/>
      <c r="F61" s="14"/>
      <c r="G61" s="14"/>
      <c r="H61" s="14"/>
      <c r="I61" s="14"/>
      <c r="J61" s="14"/>
      <c r="K61" s="14"/>
      <c r="L61" s="14"/>
      <c r="M61" s="14"/>
      <c r="N61" s="14"/>
      <c r="O61" s="14"/>
      <c r="P61" s="14"/>
      <c r="Q61" s="14"/>
      <c r="R61" s="14"/>
    </row>
    <row r="62" spans="1:18" ht="12.75" customHeight="1">
      <c r="E62" s="14"/>
      <c r="F62" s="14"/>
      <c r="G62" s="14"/>
      <c r="H62" s="14"/>
      <c r="I62" s="14"/>
      <c r="J62" s="14"/>
      <c r="K62" s="14"/>
      <c r="L62" s="14"/>
      <c r="M62" s="14"/>
      <c r="N62" s="14"/>
      <c r="O62" s="14"/>
      <c r="P62" s="14"/>
      <c r="Q62" s="14"/>
      <c r="R62" s="14"/>
    </row>
    <row r="63" spans="1:18" ht="12.75" customHeight="1">
      <c r="E63" s="14"/>
      <c r="F63" s="14"/>
      <c r="G63" s="14"/>
      <c r="H63" s="14"/>
      <c r="I63" s="14"/>
      <c r="J63" s="14"/>
      <c r="K63" s="14"/>
      <c r="L63" s="14"/>
      <c r="M63" s="14"/>
      <c r="N63" s="14"/>
      <c r="O63" s="14"/>
      <c r="P63" s="14"/>
      <c r="Q63" s="14"/>
      <c r="R63" s="14"/>
    </row>
    <row r="64" spans="1:18" ht="12.75" customHeight="1">
      <c r="E64" s="14"/>
      <c r="F64" s="14"/>
      <c r="G64" s="14"/>
      <c r="H64" s="14"/>
      <c r="I64" s="14"/>
      <c r="J64" s="14"/>
      <c r="K64" s="14"/>
      <c r="L64" s="14"/>
      <c r="M64" s="14"/>
      <c r="N64" s="14"/>
      <c r="O64" s="14"/>
      <c r="P64" s="14"/>
      <c r="Q64" s="14"/>
      <c r="R64" s="14"/>
    </row>
    <row r="65" spans="5:18" ht="12.75" customHeight="1">
      <c r="E65" s="14"/>
      <c r="F65" s="14"/>
      <c r="G65" s="14"/>
      <c r="H65" s="14"/>
      <c r="I65" s="14"/>
      <c r="J65" s="14"/>
      <c r="K65" s="14"/>
      <c r="L65" s="14"/>
      <c r="M65" s="14"/>
      <c r="N65" s="14"/>
      <c r="O65" s="14"/>
      <c r="P65" s="14"/>
      <c r="Q65" s="14"/>
      <c r="R65" s="14"/>
    </row>
    <row r="66" spans="5:18" ht="12.75" customHeight="1"/>
    <row r="67" spans="5:18" ht="12.75" customHeight="1"/>
    <row r="68" spans="5:18" ht="12.75" customHeight="1"/>
    <row r="69" spans="5:18" ht="12.75" customHeight="1"/>
    <row r="70" spans="5:18" ht="12.75" customHeight="1"/>
    <row r="71" spans="5:18" ht="12.75" customHeight="1"/>
    <row r="72" spans="5:18" ht="12.75" customHeight="1"/>
    <row r="73" spans="5:18" ht="12.75" customHeight="1"/>
    <row r="74" spans="5:18" ht="12.75" customHeight="1"/>
    <row r="75" spans="5:18" ht="12.75" customHeight="1"/>
    <row r="76" spans="5:18" ht="12.75" customHeight="1"/>
    <row r="77" spans="5:18" ht="12.75" customHeight="1"/>
    <row r="78" spans="5:18" ht="12.75" customHeight="1"/>
    <row r="79" spans="5:18" ht="12.75" customHeight="1"/>
    <row r="80" spans="5:18" ht="12.75" customHeight="1"/>
    <row r="81" ht="12.75" customHeight="1"/>
    <row r="82" ht="12.75" customHeight="1"/>
    <row r="83" ht="12.75" customHeight="1"/>
    <row r="84" ht="12.75" customHeight="1"/>
    <row r="85" ht="12.75" customHeight="1"/>
    <row r="86" ht="12.75" customHeight="1"/>
    <row r="87" ht="12.75" customHeight="1"/>
    <row r="88" ht="12.75" customHeight="1"/>
  </sheetData>
  <sheetProtection sheet="1"/>
  <phoneticPr fontId="4" type="noConversion"/>
  <pageMargins left="0.75" right="0.75" top="1" bottom="0.75" header="0.5" footer="0.5"/>
  <pageSetup scale="90"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99"/>
  <sheetViews>
    <sheetView showGridLines="0" zoomScale="90" zoomScaleNormal="90" workbookViewId="0">
      <pane ySplit="6" topLeftCell="A63" activePane="bottomLeft" state="frozen"/>
      <selection pane="bottomLeft" activeCell="E31" sqref="E31"/>
    </sheetView>
  </sheetViews>
  <sheetFormatPr defaultColWidth="8.85546875" defaultRowHeight="12" outlineLevelRow="1"/>
  <cols>
    <col min="1" max="3" width="3" style="6" customWidth="1"/>
    <col min="4" max="4" width="22.85546875" customWidth="1"/>
    <col min="5" max="16" width="10.85546875" customWidth="1"/>
    <col min="17" max="17" width="15.85546875" customWidth="1"/>
  </cols>
  <sheetData>
    <row r="1" spans="1:17" ht="15.75">
      <c r="A1" s="5" t="str">
        <f>'1. Required Start-Up Funds'!A1</f>
        <v xml:space="preserve"> </v>
      </c>
    </row>
    <row r="2" spans="1:17" ht="15.75">
      <c r="A2" s="5" t="s">
        <v>39</v>
      </c>
    </row>
    <row r="3" spans="1:17" ht="12.75" customHeight="1">
      <c r="A3" s="1"/>
      <c r="B3" s="1"/>
      <c r="C3" s="1"/>
      <c r="D3" s="37"/>
      <c r="E3" s="37"/>
      <c r="F3" s="37"/>
      <c r="G3" s="37"/>
      <c r="H3" s="37"/>
      <c r="I3" s="37"/>
      <c r="J3" s="37"/>
      <c r="K3" s="37"/>
      <c r="L3" s="37"/>
      <c r="M3" s="37"/>
      <c r="N3" s="37"/>
      <c r="O3" s="37"/>
      <c r="P3" s="37"/>
      <c r="Q3" s="37"/>
    </row>
    <row r="4" spans="1:17" ht="12.75" customHeight="1">
      <c r="A4" s="1"/>
      <c r="B4" s="1"/>
      <c r="C4" s="1"/>
      <c r="D4" s="37"/>
      <c r="E4" s="37"/>
      <c r="F4" s="37"/>
      <c r="G4" s="37"/>
      <c r="H4" s="37"/>
      <c r="I4" s="37"/>
      <c r="J4" s="37"/>
      <c r="K4" s="37"/>
      <c r="L4" s="37"/>
      <c r="M4" s="37"/>
      <c r="N4" s="37"/>
      <c r="O4" s="37"/>
      <c r="P4" s="37"/>
      <c r="Q4" s="37"/>
    </row>
    <row r="5" spans="1:17" ht="12.75" customHeight="1">
      <c r="A5" s="1"/>
      <c r="B5" s="1"/>
      <c r="C5" s="1"/>
      <c r="D5" s="37"/>
      <c r="E5" s="37"/>
      <c r="F5" s="37"/>
      <c r="G5" s="37"/>
      <c r="H5" s="37"/>
      <c r="I5" s="37"/>
      <c r="J5" s="37"/>
      <c r="K5" s="37"/>
      <c r="L5" s="37"/>
      <c r="M5" s="37"/>
      <c r="N5" s="37"/>
      <c r="O5" s="37"/>
      <c r="P5" s="37"/>
      <c r="Q5" s="37"/>
    </row>
    <row r="6" spans="1:17" ht="12.75" customHeight="1" thickBot="1">
      <c r="A6" s="1"/>
      <c r="B6" s="1"/>
      <c r="C6" s="1"/>
      <c r="D6" s="37"/>
      <c r="E6" s="357">
        <f>'4a.Prod 1-6 Unit Sales Forecast'!H6</f>
        <v>1</v>
      </c>
      <c r="F6" s="40">
        <f>'4a.Prod 1-6 Unit Sales Forecast'!I6</f>
        <v>2</v>
      </c>
      <c r="G6" s="40">
        <f>'4a.Prod 1-6 Unit Sales Forecast'!J6</f>
        <v>3</v>
      </c>
      <c r="H6" s="40">
        <f>'4a.Prod 1-6 Unit Sales Forecast'!K6</f>
        <v>4</v>
      </c>
      <c r="I6" s="40">
        <f>'4a.Prod 1-6 Unit Sales Forecast'!L6</f>
        <v>5</v>
      </c>
      <c r="J6" s="40">
        <f>'4a.Prod 1-6 Unit Sales Forecast'!M6</f>
        <v>6</v>
      </c>
      <c r="K6" s="40">
        <f>'4a.Prod 1-6 Unit Sales Forecast'!N6</f>
        <v>7</v>
      </c>
      <c r="L6" s="40">
        <f>'4a.Prod 1-6 Unit Sales Forecast'!O6</f>
        <v>8</v>
      </c>
      <c r="M6" s="40">
        <f>'4a.Prod 1-6 Unit Sales Forecast'!P6</f>
        <v>9</v>
      </c>
      <c r="N6" s="40">
        <f>'4a.Prod 1-6 Unit Sales Forecast'!Q6</f>
        <v>10</v>
      </c>
      <c r="O6" s="40">
        <f>'4a.Prod 1-6 Unit Sales Forecast'!R6</f>
        <v>11</v>
      </c>
      <c r="P6" s="40">
        <f>'4a.Prod 1-6 Unit Sales Forecast'!S6</f>
        <v>12</v>
      </c>
      <c r="Q6" s="40" t="s">
        <v>248</v>
      </c>
    </row>
    <row r="7" spans="1:17" ht="12.75" customHeight="1">
      <c r="A7" s="1"/>
      <c r="B7" s="1"/>
      <c r="C7" s="1"/>
      <c r="D7" s="37"/>
      <c r="E7" s="82"/>
      <c r="F7" s="37"/>
      <c r="G7" s="37"/>
      <c r="H7" s="37"/>
      <c r="I7" s="37"/>
      <c r="J7" s="37"/>
      <c r="K7" s="37"/>
      <c r="L7" s="37"/>
      <c r="M7" s="37"/>
      <c r="N7" s="37"/>
      <c r="O7" s="37"/>
      <c r="P7" s="37"/>
      <c r="Q7" s="37"/>
    </row>
    <row r="8" spans="1:17" ht="12.75" hidden="1" customHeight="1" outlineLevel="1">
      <c r="A8" s="1" t="s">
        <v>168</v>
      </c>
      <c r="B8" s="1"/>
      <c r="C8" s="1"/>
      <c r="D8" s="37"/>
      <c r="E8" s="37"/>
      <c r="F8" s="37"/>
      <c r="G8" s="37"/>
      <c r="H8" s="37"/>
      <c r="I8" s="37"/>
      <c r="J8" s="37"/>
      <c r="K8" s="37"/>
      <c r="L8" s="37"/>
      <c r="M8" s="37"/>
      <c r="N8" s="37"/>
      <c r="O8" s="37"/>
      <c r="P8" s="37"/>
      <c r="Q8" s="37"/>
    </row>
    <row r="9" spans="1:17" ht="12.75" hidden="1" customHeight="1" outlineLevel="1">
      <c r="A9" s="1"/>
      <c r="B9" s="1" t="str">
        <f>+'12. Income Statement (2)'!B9</f>
        <v>Product/Service 1</v>
      </c>
      <c r="C9" s="1"/>
      <c r="D9" s="37"/>
      <c r="E9" s="45">
        <f>'4a.Prod 1-6 Unit Sales Forecast'!$E$9*'4a.Prod 1-6 Unit Sales Forecast'!H16</f>
        <v>0</v>
      </c>
      <c r="F9" s="45">
        <f>'4a.Prod 1-6 Unit Sales Forecast'!$E$9*'4a.Prod 1-6 Unit Sales Forecast'!I16</f>
        <v>0</v>
      </c>
      <c r="G9" s="45">
        <f>'4a.Prod 1-6 Unit Sales Forecast'!$E$9*'4a.Prod 1-6 Unit Sales Forecast'!J16</f>
        <v>0</v>
      </c>
      <c r="H9" s="45">
        <f>'4a.Prod 1-6 Unit Sales Forecast'!$E$9*'4a.Prod 1-6 Unit Sales Forecast'!K16</f>
        <v>0</v>
      </c>
      <c r="I9" s="45">
        <f>'4a.Prod 1-6 Unit Sales Forecast'!$E$9*'4a.Prod 1-6 Unit Sales Forecast'!L16</f>
        <v>0</v>
      </c>
      <c r="J9" s="45">
        <f>'4a.Prod 1-6 Unit Sales Forecast'!$E$9*'4a.Prod 1-6 Unit Sales Forecast'!M16</f>
        <v>0</v>
      </c>
      <c r="K9" s="45">
        <f>'4a.Prod 1-6 Unit Sales Forecast'!$E$9*'4a.Prod 1-6 Unit Sales Forecast'!N16</f>
        <v>0</v>
      </c>
      <c r="L9" s="45">
        <f>'4a.Prod 1-6 Unit Sales Forecast'!$E$9*'4a.Prod 1-6 Unit Sales Forecast'!O16</f>
        <v>0</v>
      </c>
      <c r="M9" s="45">
        <f>'4a.Prod 1-6 Unit Sales Forecast'!$E$9*'4a.Prod 1-6 Unit Sales Forecast'!P16</f>
        <v>0</v>
      </c>
      <c r="N9" s="45">
        <f>'4a.Prod 1-6 Unit Sales Forecast'!$E$9*'4a.Prod 1-6 Unit Sales Forecast'!Q16</f>
        <v>0</v>
      </c>
      <c r="O9" s="45">
        <f>'4a.Prod 1-6 Unit Sales Forecast'!$E$9*'4a.Prod 1-6 Unit Sales Forecast'!R16</f>
        <v>0</v>
      </c>
      <c r="P9" s="45">
        <f>'4a.Prod 1-6 Unit Sales Forecast'!$E$9*'4a.Prod 1-6 Unit Sales Forecast'!S16</f>
        <v>0</v>
      </c>
      <c r="Q9" s="53">
        <f t="shared" ref="Q9:Q15" si="0">SUM(E9:P9)</f>
        <v>0</v>
      </c>
    </row>
    <row r="10" spans="1:17" ht="12.75" hidden="1" customHeight="1" outlineLevel="1">
      <c r="A10" s="1"/>
      <c r="B10" s="1" t="str">
        <f>+'12. Income Statement (2)'!B10</f>
        <v>Product/Service 2</v>
      </c>
      <c r="C10" s="1"/>
      <c r="D10" s="37"/>
      <c r="E10" s="45">
        <f>'4a.Prod 1-6 Unit Sales Forecast'!$E$31*'4a.Prod 1-6 Unit Sales Forecast'!H38</f>
        <v>0</v>
      </c>
      <c r="F10" s="45">
        <f>'4a.Prod 1-6 Unit Sales Forecast'!$E$31*'4a.Prod 1-6 Unit Sales Forecast'!I38</f>
        <v>0</v>
      </c>
      <c r="G10" s="45">
        <f>'4a.Prod 1-6 Unit Sales Forecast'!$E$31*'4a.Prod 1-6 Unit Sales Forecast'!J38</f>
        <v>0</v>
      </c>
      <c r="H10" s="45">
        <f>'4a.Prod 1-6 Unit Sales Forecast'!$E$31*'4a.Prod 1-6 Unit Sales Forecast'!K38</f>
        <v>0</v>
      </c>
      <c r="I10" s="45">
        <f>'4a.Prod 1-6 Unit Sales Forecast'!$E$31*'4a.Prod 1-6 Unit Sales Forecast'!L38</f>
        <v>0</v>
      </c>
      <c r="J10" s="45">
        <f>'4a.Prod 1-6 Unit Sales Forecast'!$E$31*'4a.Prod 1-6 Unit Sales Forecast'!M38</f>
        <v>0</v>
      </c>
      <c r="K10" s="45">
        <f>'4a.Prod 1-6 Unit Sales Forecast'!$E$31*'4a.Prod 1-6 Unit Sales Forecast'!N38</f>
        <v>0</v>
      </c>
      <c r="L10" s="45">
        <f>'4a.Prod 1-6 Unit Sales Forecast'!$E$31*'4a.Prod 1-6 Unit Sales Forecast'!O38</f>
        <v>0</v>
      </c>
      <c r="M10" s="45">
        <f>'4a.Prod 1-6 Unit Sales Forecast'!$E$31*'4a.Prod 1-6 Unit Sales Forecast'!P38</f>
        <v>0</v>
      </c>
      <c r="N10" s="45">
        <f>'4a.Prod 1-6 Unit Sales Forecast'!$E$31*'4a.Prod 1-6 Unit Sales Forecast'!Q38</f>
        <v>0</v>
      </c>
      <c r="O10" s="45">
        <f>'4a.Prod 1-6 Unit Sales Forecast'!$E$31*'4a.Prod 1-6 Unit Sales Forecast'!R38</f>
        <v>0</v>
      </c>
      <c r="P10" s="45">
        <f>'4a.Prod 1-6 Unit Sales Forecast'!$E$31*'4a.Prod 1-6 Unit Sales Forecast'!S38</f>
        <v>0</v>
      </c>
      <c r="Q10" s="53">
        <f t="shared" si="0"/>
        <v>0</v>
      </c>
    </row>
    <row r="11" spans="1:17" ht="12.75" hidden="1" customHeight="1" outlineLevel="1">
      <c r="A11" s="1"/>
      <c r="B11" s="1" t="str">
        <f>+'12. Income Statement (2)'!B11</f>
        <v>Product/Service 3</v>
      </c>
      <c r="C11" s="1"/>
      <c r="D11" s="37"/>
      <c r="E11" s="45">
        <f>'4a.Prod 1-6 Unit Sales Forecast'!$E$53*'4a.Prod 1-6 Unit Sales Forecast'!H60</f>
        <v>0</v>
      </c>
      <c r="F11" s="45">
        <f>'4a.Prod 1-6 Unit Sales Forecast'!$E$53*'4a.Prod 1-6 Unit Sales Forecast'!I60</f>
        <v>0</v>
      </c>
      <c r="G11" s="45">
        <f>'4a.Prod 1-6 Unit Sales Forecast'!$E$53*'4a.Prod 1-6 Unit Sales Forecast'!J60</f>
        <v>0</v>
      </c>
      <c r="H11" s="45">
        <f>'4a.Prod 1-6 Unit Sales Forecast'!$E$53*'4a.Prod 1-6 Unit Sales Forecast'!K60</f>
        <v>0</v>
      </c>
      <c r="I11" s="45">
        <f>'4a.Prod 1-6 Unit Sales Forecast'!$E$53*'4a.Prod 1-6 Unit Sales Forecast'!L60</f>
        <v>0</v>
      </c>
      <c r="J11" s="45">
        <f>'4a.Prod 1-6 Unit Sales Forecast'!$E$53*'4a.Prod 1-6 Unit Sales Forecast'!M60</f>
        <v>0</v>
      </c>
      <c r="K11" s="45">
        <f>'4a.Prod 1-6 Unit Sales Forecast'!$E$53*'4a.Prod 1-6 Unit Sales Forecast'!N60</f>
        <v>0</v>
      </c>
      <c r="L11" s="45">
        <f>'4a.Prod 1-6 Unit Sales Forecast'!$E$53*'4a.Prod 1-6 Unit Sales Forecast'!O60</f>
        <v>0</v>
      </c>
      <c r="M11" s="45">
        <f>'4a.Prod 1-6 Unit Sales Forecast'!$E$53*'4a.Prod 1-6 Unit Sales Forecast'!P60</f>
        <v>0</v>
      </c>
      <c r="N11" s="45">
        <f>'4a.Prod 1-6 Unit Sales Forecast'!$E$53*'4a.Prod 1-6 Unit Sales Forecast'!Q60</f>
        <v>0</v>
      </c>
      <c r="O11" s="45">
        <f>'4a.Prod 1-6 Unit Sales Forecast'!$E$53*'4a.Prod 1-6 Unit Sales Forecast'!R60</f>
        <v>0</v>
      </c>
      <c r="P11" s="45">
        <f>'4a.Prod 1-6 Unit Sales Forecast'!$E$53*'4a.Prod 1-6 Unit Sales Forecast'!S60</f>
        <v>0</v>
      </c>
      <c r="Q11" s="53">
        <f t="shared" si="0"/>
        <v>0</v>
      </c>
    </row>
    <row r="12" spans="1:17" ht="12.75" hidden="1" customHeight="1" outlineLevel="1">
      <c r="A12" s="1"/>
      <c r="B12" s="1" t="str">
        <f>+'12. Income Statement (2)'!B12</f>
        <v>Product/Service 4</v>
      </c>
      <c r="C12" s="1"/>
      <c r="D12" s="37"/>
      <c r="E12" s="45">
        <f>'4a.Prod 1-6 Unit Sales Forecast'!$E$75*'4a.Prod 1-6 Unit Sales Forecast'!H82</f>
        <v>0</v>
      </c>
      <c r="F12" s="45">
        <f>'4a.Prod 1-6 Unit Sales Forecast'!$E$75*'4a.Prod 1-6 Unit Sales Forecast'!I82</f>
        <v>0</v>
      </c>
      <c r="G12" s="45">
        <f>'4a.Prod 1-6 Unit Sales Forecast'!$E$75*'4a.Prod 1-6 Unit Sales Forecast'!J82</f>
        <v>0</v>
      </c>
      <c r="H12" s="45">
        <f>'4a.Prod 1-6 Unit Sales Forecast'!$E$75*'4a.Prod 1-6 Unit Sales Forecast'!K82</f>
        <v>0</v>
      </c>
      <c r="I12" s="45">
        <f>'4a.Prod 1-6 Unit Sales Forecast'!$E$75*'4a.Prod 1-6 Unit Sales Forecast'!L82</f>
        <v>0</v>
      </c>
      <c r="J12" s="45">
        <f>'4a.Prod 1-6 Unit Sales Forecast'!$E$75*'4a.Prod 1-6 Unit Sales Forecast'!M82</f>
        <v>0</v>
      </c>
      <c r="K12" s="45">
        <f>'4a.Prod 1-6 Unit Sales Forecast'!$E$75*'4a.Prod 1-6 Unit Sales Forecast'!N82</f>
        <v>0</v>
      </c>
      <c r="L12" s="45">
        <f>'4a.Prod 1-6 Unit Sales Forecast'!$E$75*'4a.Prod 1-6 Unit Sales Forecast'!O82</f>
        <v>0</v>
      </c>
      <c r="M12" s="45">
        <f>'4a.Prod 1-6 Unit Sales Forecast'!$E$75*'4a.Prod 1-6 Unit Sales Forecast'!P82</f>
        <v>0</v>
      </c>
      <c r="N12" s="45">
        <f>'4a.Prod 1-6 Unit Sales Forecast'!$E$75*'4a.Prod 1-6 Unit Sales Forecast'!Q82</f>
        <v>0</v>
      </c>
      <c r="O12" s="45">
        <f>'4a.Prod 1-6 Unit Sales Forecast'!$E$75*'4a.Prod 1-6 Unit Sales Forecast'!R82</f>
        <v>0</v>
      </c>
      <c r="P12" s="45">
        <f>'4a.Prod 1-6 Unit Sales Forecast'!$E$75*'4a.Prod 1-6 Unit Sales Forecast'!S82</f>
        <v>0</v>
      </c>
      <c r="Q12" s="53">
        <f t="shared" si="0"/>
        <v>0</v>
      </c>
    </row>
    <row r="13" spans="1:17" ht="12.75" hidden="1" customHeight="1" outlineLevel="1">
      <c r="A13" s="1"/>
      <c r="B13" s="1" t="str">
        <f>+'12. Income Statement (2)'!B13</f>
        <v>Product/Service 5</v>
      </c>
      <c r="C13" s="1"/>
      <c r="D13" s="37"/>
      <c r="E13" s="45">
        <f>'4a.Prod 1-6 Unit Sales Forecast'!$E$97*'4a.Prod 1-6 Unit Sales Forecast'!H104</f>
        <v>0</v>
      </c>
      <c r="F13" s="45">
        <f>'4a.Prod 1-6 Unit Sales Forecast'!$E$97*'4a.Prod 1-6 Unit Sales Forecast'!I104</f>
        <v>0</v>
      </c>
      <c r="G13" s="45">
        <f>'4a.Prod 1-6 Unit Sales Forecast'!$E$97*'4a.Prod 1-6 Unit Sales Forecast'!J104</f>
        <v>0</v>
      </c>
      <c r="H13" s="45">
        <f>'4a.Prod 1-6 Unit Sales Forecast'!$E$97*'4a.Prod 1-6 Unit Sales Forecast'!K104</f>
        <v>0</v>
      </c>
      <c r="I13" s="45">
        <f>'4a.Prod 1-6 Unit Sales Forecast'!$E$97*'4a.Prod 1-6 Unit Sales Forecast'!L104</f>
        <v>0</v>
      </c>
      <c r="J13" s="45">
        <f>'4a.Prod 1-6 Unit Sales Forecast'!$E$97*'4a.Prod 1-6 Unit Sales Forecast'!M104</f>
        <v>0</v>
      </c>
      <c r="K13" s="45">
        <f>'4a.Prod 1-6 Unit Sales Forecast'!$E$97*'4a.Prod 1-6 Unit Sales Forecast'!N104</f>
        <v>0</v>
      </c>
      <c r="L13" s="45">
        <f>'4a.Prod 1-6 Unit Sales Forecast'!$E$97*'4a.Prod 1-6 Unit Sales Forecast'!O104</f>
        <v>0</v>
      </c>
      <c r="M13" s="45">
        <f>'4a.Prod 1-6 Unit Sales Forecast'!$E$97*'4a.Prod 1-6 Unit Sales Forecast'!P104</f>
        <v>0</v>
      </c>
      <c r="N13" s="45">
        <f>'4a.Prod 1-6 Unit Sales Forecast'!$E$97*'4a.Prod 1-6 Unit Sales Forecast'!Q104</f>
        <v>0</v>
      </c>
      <c r="O13" s="45">
        <f>'4a.Prod 1-6 Unit Sales Forecast'!$E$97*'4a.Prod 1-6 Unit Sales Forecast'!R104</f>
        <v>0</v>
      </c>
      <c r="P13" s="45">
        <f>'4a.Prod 1-6 Unit Sales Forecast'!$E$97*'4a.Prod 1-6 Unit Sales Forecast'!S104</f>
        <v>0</v>
      </c>
      <c r="Q13" s="53">
        <f t="shared" si="0"/>
        <v>0</v>
      </c>
    </row>
    <row r="14" spans="1:17" ht="12.75" hidden="1" customHeight="1" outlineLevel="1">
      <c r="A14" s="1"/>
      <c r="B14" s="1" t="str">
        <f>+'12. Income Statement (2)'!B14</f>
        <v>Product/Service 6</v>
      </c>
      <c r="C14" s="1"/>
      <c r="D14" s="37"/>
      <c r="E14" s="45" t="str">
        <f>IF('4a.Prod 1-6 Unit Sales Forecast'!$E$119&gt;0,'4a.Prod 1-6 Unit Sales Forecast'!$E$119*'4a.Prod 1-6 Unit Sales Forecast'!H126,"")</f>
        <v/>
      </c>
      <c r="F14" s="45" t="str">
        <f>IF('4a.Prod 1-6 Unit Sales Forecast'!$E$119&gt;0,'4a.Prod 1-6 Unit Sales Forecast'!$E$119*'4a.Prod 1-6 Unit Sales Forecast'!I126,"")</f>
        <v/>
      </c>
      <c r="G14" s="45" t="str">
        <f>IF('4a.Prod 1-6 Unit Sales Forecast'!$E$119&gt;0,'4a.Prod 1-6 Unit Sales Forecast'!$E$119*'4a.Prod 1-6 Unit Sales Forecast'!J126,"")</f>
        <v/>
      </c>
      <c r="H14" s="45" t="str">
        <f>IF('4a.Prod 1-6 Unit Sales Forecast'!$E$119&gt;0,'4a.Prod 1-6 Unit Sales Forecast'!$E$119*'4a.Prod 1-6 Unit Sales Forecast'!K126,"")</f>
        <v/>
      </c>
      <c r="I14" s="45" t="str">
        <f>IF('4a.Prod 1-6 Unit Sales Forecast'!$E$119&gt;0,'4a.Prod 1-6 Unit Sales Forecast'!$E$119*'4a.Prod 1-6 Unit Sales Forecast'!L126,"")</f>
        <v/>
      </c>
      <c r="J14" s="45" t="str">
        <f>IF('4a.Prod 1-6 Unit Sales Forecast'!$E$119&gt;0,'4a.Prod 1-6 Unit Sales Forecast'!$E$119*'4a.Prod 1-6 Unit Sales Forecast'!M126,"")</f>
        <v/>
      </c>
      <c r="K14" s="45" t="str">
        <f>IF('4a.Prod 1-6 Unit Sales Forecast'!$E$119&gt;0,'4a.Prod 1-6 Unit Sales Forecast'!$E$119*'4a.Prod 1-6 Unit Sales Forecast'!N126,"")</f>
        <v/>
      </c>
      <c r="L14" s="45" t="str">
        <f>IF('4a.Prod 1-6 Unit Sales Forecast'!$E$119&gt;0,'4a.Prod 1-6 Unit Sales Forecast'!$E$119*'4a.Prod 1-6 Unit Sales Forecast'!O126,"")</f>
        <v/>
      </c>
      <c r="M14" s="45" t="str">
        <f>IF('4a.Prod 1-6 Unit Sales Forecast'!$E$119&gt;0,'4a.Prod 1-6 Unit Sales Forecast'!$E$119*'4a.Prod 1-6 Unit Sales Forecast'!P126,"")</f>
        <v/>
      </c>
      <c r="N14" s="45" t="str">
        <f>IF('4a.Prod 1-6 Unit Sales Forecast'!$E$119&gt;0,'4a.Prod 1-6 Unit Sales Forecast'!$E$119*'4a.Prod 1-6 Unit Sales Forecast'!Q126,"")</f>
        <v/>
      </c>
      <c r="O14" s="45" t="str">
        <f>IF('4a.Prod 1-6 Unit Sales Forecast'!$E$119&gt;0,'4a.Prod 1-6 Unit Sales Forecast'!$E$119*'4a.Prod 1-6 Unit Sales Forecast'!R126,"")</f>
        <v/>
      </c>
      <c r="P14" s="45" t="str">
        <f>IF('4a.Prod 1-6 Unit Sales Forecast'!$E$119&gt;0,'4a.Prod 1-6 Unit Sales Forecast'!$E$119*'4a.Prod 1-6 Unit Sales Forecast'!S126,"")</f>
        <v/>
      </c>
      <c r="Q14" s="53">
        <f t="shared" si="0"/>
        <v>0</v>
      </c>
    </row>
    <row r="15" spans="1:17" ht="12.75" hidden="1" customHeight="1" outlineLevel="1" thickBot="1">
      <c r="A15" s="1"/>
      <c r="B15" s="1" t="str">
        <f>+'12. Income Statement (2)'!B15</f>
        <v>Total of Multi-Product</v>
      </c>
      <c r="C15" s="1"/>
      <c r="D15" s="37"/>
      <c r="E15" s="49">
        <f>+'5.Prod 7-20 Unit Sales Forecast'!H319</f>
        <v>0</v>
      </c>
      <c r="F15" s="49">
        <f>+'5.Prod 7-20 Unit Sales Forecast'!I319</f>
        <v>0</v>
      </c>
      <c r="G15" s="49">
        <f>+'5.Prod 7-20 Unit Sales Forecast'!J319</f>
        <v>0</v>
      </c>
      <c r="H15" s="49">
        <f>+'5.Prod 7-20 Unit Sales Forecast'!K319</f>
        <v>0</v>
      </c>
      <c r="I15" s="49">
        <f>+'5.Prod 7-20 Unit Sales Forecast'!L319</f>
        <v>0</v>
      </c>
      <c r="J15" s="49">
        <f>+'5.Prod 7-20 Unit Sales Forecast'!M319</f>
        <v>0</v>
      </c>
      <c r="K15" s="49">
        <f>+'5.Prod 7-20 Unit Sales Forecast'!N319</f>
        <v>0</v>
      </c>
      <c r="L15" s="49">
        <f>+'5.Prod 7-20 Unit Sales Forecast'!O319</f>
        <v>0</v>
      </c>
      <c r="M15" s="49">
        <f>+'5.Prod 7-20 Unit Sales Forecast'!P319</f>
        <v>0</v>
      </c>
      <c r="N15" s="49">
        <f>+'5.Prod 7-20 Unit Sales Forecast'!Q319</f>
        <v>0</v>
      </c>
      <c r="O15" s="49">
        <f>+'5.Prod 7-20 Unit Sales Forecast'!R319</f>
        <v>0</v>
      </c>
      <c r="P15" s="49">
        <f>+'5.Prod 7-20 Unit Sales Forecast'!S319</f>
        <v>0</v>
      </c>
      <c r="Q15" s="89">
        <f t="shared" si="0"/>
        <v>0</v>
      </c>
    </row>
    <row r="16" spans="1:17" ht="12.75" customHeight="1" collapsed="1">
      <c r="A16" s="1" t="s">
        <v>169</v>
      </c>
      <c r="B16" s="1"/>
      <c r="C16" s="1"/>
      <c r="D16" s="37"/>
      <c r="E16" s="53">
        <f t="shared" ref="E16:Q16" si="1">SUM(E9:E15)</f>
        <v>0</v>
      </c>
      <c r="F16" s="53">
        <f t="shared" si="1"/>
        <v>0</v>
      </c>
      <c r="G16" s="53">
        <f t="shared" si="1"/>
        <v>0</v>
      </c>
      <c r="H16" s="53">
        <f t="shared" si="1"/>
        <v>0</v>
      </c>
      <c r="I16" s="53">
        <f t="shared" si="1"/>
        <v>0</v>
      </c>
      <c r="J16" s="53">
        <f t="shared" si="1"/>
        <v>0</v>
      </c>
      <c r="K16" s="53">
        <f t="shared" si="1"/>
        <v>0</v>
      </c>
      <c r="L16" s="53">
        <f t="shared" si="1"/>
        <v>0</v>
      </c>
      <c r="M16" s="53">
        <f t="shared" si="1"/>
        <v>0</v>
      </c>
      <c r="N16" s="53">
        <f t="shared" si="1"/>
        <v>0</v>
      </c>
      <c r="O16" s="53">
        <f t="shared" si="1"/>
        <v>0</v>
      </c>
      <c r="P16" s="53">
        <f t="shared" si="1"/>
        <v>0</v>
      </c>
      <c r="Q16" s="53">
        <f t="shared" si="1"/>
        <v>0</v>
      </c>
    </row>
    <row r="17" spans="1:17" ht="12.75" customHeight="1">
      <c r="A17" s="1"/>
      <c r="B17" s="1"/>
      <c r="C17" s="1"/>
      <c r="D17" s="37"/>
      <c r="E17" s="37"/>
      <c r="F17" s="37"/>
      <c r="G17" s="37"/>
      <c r="H17" s="37"/>
      <c r="I17" s="37"/>
      <c r="J17" s="37"/>
      <c r="K17" s="37"/>
      <c r="L17" s="37"/>
      <c r="M17" s="37"/>
      <c r="N17" s="37"/>
      <c r="O17" s="37"/>
      <c r="P17" s="37"/>
      <c r="Q17" s="37"/>
    </row>
    <row r="18" spans="1:17" ht="12.75" hidden="1" customHeight="1" outlineLevel="1">
      <c r="A18" s="1" t="s">
        <v>170</v>
      </c>
      <c r="B18" s="1"/>
      <c r="C18" s="1"/>
      <c r="D18" s="37"/>
      <c r="E18" s="45"/>
      <c r="F18" s="45"/>
      <c r="G18" s="45"/>
      <c r="H18" s="45"/>
      <c r="I18" s="45"/>
      <c r="J18" s="45"/>
      <c r="K18" s="45"/>
      <c r="L18" s="45"/>
      <c r="M18" s="45"/>
      <c r="N18" s="45"/>
      <c r="O18" s="45"/>
      <c r="P18" s="45"/>
      <c r="Q18" s="45"/>
    </row>
    <row r="19" spans="1:17" ht="12.75" hidden="1" customHeight="1" outlineLevel="1">
      <c r="A19" s="1"/>
      <c r="B19" s="1" t="str">
        <f>+'12. Income Statement (2)'!B19</f>
        <v>Product/Service 1</v>
      </c>
      <c r="C19" s="1"/>
      <c r="D19" s="37"/>
      <c r="E19" s="45">
        <f>'4a.Prod 1-6 Unit Sales Forecast'!$E$10*'4a.Prod 1-6 Unit Sales Forecast'!H16</f>
        <v>0</v>
      </c>
      <c r="F19" s="45">
        <f>'4a.Prod 1-6 Unit Sales Forecast'!$E$10*'4a.Prod 1-6 Unit Sales Forecast'!I16</f>
        <v>0</v>
      </c>
      <c r="G19" s="45">
        <f>'4a.Prod 1-6 Unit Sales Forecast'!$E$10*'4a.Prod 1-6 Unit Sales Forecast'!J16</f>
        <v>0</v>
      </c>
      <c r="H19" s="45">
        <f>'4a.Prod 1-6 Unit Sales Forecast'!$E$10*'4a.Prod 1-6 Unit Sales Forecast'!K16</f>
        <v>0</v>
      </c>
      <c r="I19" s="45">
        <f>'4a.Prod 1-6 Unit Sales Forecast'!$E$10*'4a.Prod 1-6 Unit Sales Forecast'!L16</f>
        <v>0</v>
      </c>
      <c r="J19" s="45">
        <f>'4a.Prod 1-6 Unit Sales Forecast'!$E$10*'4a.Prod 1-6 Unit Sales Forecast'!M16</f>
        <v>0</v>
      </c>
      <c r="K19" s="45">
        <f>'4a.Prod 1-6 Unit Sales Forecast'!$E$10*'4a.Prod 1-6 Unit Sales Forecast'!N16</f>
        <v>0</v>
      </c>
      <c r="L19" s="45">
        <f>'4a.Prod 1-6 Unit Sales Forecast'!$E$10*'4a.Prod 1-6 Unit Sales Forecast'!O16</f>
        <v>0</v>
      </c>
      <c r="M19" s="45">
        <f>'4a.Prod 1-6 Unit Sales Forecast'!$E$10*'4a.Prod 1-6 Unit Sales Forecast'!P16</f>
        <v>0</v>
      </c>
      <c r="N19" s="45">
        <f>'4a.Prod 1-6 Unit Sales Forecast'!$E$10*'4a.Prod 1-6 Unit Sales Forecast'!Q16</f>
        <v>0</v>
      </c>
      <c r="O19" s="45">
        <f>'4a.Prod 1-6 Unit Sales Forecast'!$E$10*'4a.Prod 1-6 Unit Sales Forecast'!R16</f>
        <v>0</v>
      </c>
      <c r="P19" s="45">
        <f>'4a.Prod 1-6 Unit Sales Forecast'!$E$10*'4a.Prod 1-6 Unit Sales Forecast'!S16</f>
        <v>0</v>
      </c>
      <c r="Q19" s="45">
        <f t="shared" ref="Q19:Q25" si="2">SUM(E19:P19)</f>
        <v>0</v>
      </c>
    </row>
    <row r="20" spans="1:17" ht="12.75" hidden="1" customHeight="1" outlineLevel="1">
      <c r="A20" s="1"/>
      <c r="B20" s="1" t="str">
        <f t="shared" ref="B20:B25" si="3">B10</f>
        <v>Product/Service 2</v>
      </c>
      <c r="C20" s="1"/>
      <c r="D20" s="37"/>
      <c r="E20" s="53">
        <f>'4a.Prod 1-6 Unit Sales Forecast'!$E$32*'4a.Prod 1-6 Unit Sales Forecast'!H38</f>
        <v>0</v>
      </c>
      <c r="F20" s="53">
        <f>'4a.Prod 1-6 Unit Sales Forecast'!$E$32*'4a.Prod 1-6 Unit Sales Forecast'!I38</f>
        <v>0</v>
      </c>
      <c r="G20" s="53">
        <f>'4a.Prod 1-6 Unit Sales Forecast'!$E$32*'4a.Prod 1-6 Unit Sales Forecast'!J38</f>
        <v>0</v>
      </c>
      <c r="H20" s="53">
        <f>'4a.Prod 1-6 Unit Sales Forecast'!$E$32*'4a.Prod 1-6 Unit Sales Forecast'!K38</f>
        <v>0</v>
      </c>
      <c r="I20" s="53">
        <f>'4a.Prod 1-6 Unit Sales Forecast'!$E$32*'4a.Prod 1-6 Unit Sales Forecast'!L38</f>
        <v>0</v>
      </c>
      <c r="J20" s="53">
        <f>'4a.Prod 1-6 Unit Sales Forecast'!$E$32*'4a.Prod 1-6 Unit Sales Forecast'!M38</f>
        <v>0</v>
      </c>
      <c r="K20" s="53">
        <f>'4a.Prod 1-6 Unit Sales Forecast'!$E$32*'4a.Prod 1-6 Unit Sales Forecast'!N38</f>
        <v>0</v>
      </c>
      <c r="L20" s="53">
        <f>'4a.Prod 1-6 Unit Sales Forecast'!$E$32*'4a.Prod 1-6 Unit Sales Forecast'!O38</f>
        <v>0</v>
      </c>
      <c r="M20" s="53">
        <f>'4a.Prod 1-6 Unit Sales Forecast'!$E$32*'4a.Prod 1-6 Unit Sales Forecast'!P38</f>
        <v>0</v>
      </c>
      <c r="N20" s="53">
        <f>'4a.Prod 1-6 Unit Sales Forecast'!$E$32*'4a.Prod 1-6 Unit Sales Forecast'!Q38</f>
        <v>0</v>
      </c>
      <c r="O20" s="53">
        <f>'4a.Prod 1-6 Unit Sales Forecast'!$E$32*'4a.Prod 1-6 Unit Sales Forecast'!R38</f>
        <v>0</v>
      </c>
      <c r="P20" s="53">
        <f>'4a.Prod 1-6 Unit Sales Forecast'!$E$32*'4a.Prod 1-6 Unit Sales Forecast'!S38</f>
        <v>0</v>
      </c>
      <c r="Q20" s="45">
        <f t="shared" si="2"/>
        <v>0</v>
      </c>
    </row>
    <row r="21" spans="1:17" ht="12.75" hidden="1" customHeight="1" outlineLevel="1">
      <c r="A21" s="1"/>
      <c r="B21" s="1" t="str">
        <f t="shared" si="3"/>
        <v>Product/Service 3</v>
      </c>
      <c r="C21" s="1"/>
      <c r="D21" s="37"/>
      <c r="E21" s="53">
        <f>'4a.Prod 1-6 Unit Sales Forecast'!$E$54*'4a.Prod 1-6 Unit Sales Forecast'!H60</f>
        <v>0</v>
      </c>
      <c r="F21" s="53">
        <f>'4a.Prod 1-6 Unit Sales Forecast'!$E$54*'4a.Prod 1-6 Unit Sales Forecast'!I60</f>
        <v>0</v>
      </c>
      <c r="G21" s="53">
        <f>'4a.Prod 1-6 Unit Sales Forecast'!$E$54*'4a.Prod 1-6 Unit Sales Forecast'!J60</f>
        <v>0</v>
      </c>
      <c r="H21" s="53">
        <f>'4a.Prod 1-6 Unit Sales Forecast'!$E$54*'4a.Prod 1-6 Unit Sales Forecast'!K60</f>
        <v>0</v>
      </c>
      <c r="I21" s="53">
        <f>'4a.Prod 1-6 Unit Sales Forecast'!$E$54*'4a.Prod 1-6 Unit Sales Forecast'!L60</f>
        <v>0</v>
      </c>
      <c r="J21" s="53">
        <f>'4a.Prod 1-6 Unit Sales Forecast'!$E$54*'4a.Prod 1-6 Unit Sales Forecast'!M60</f>
        <v>0</v>
      </c>
      <c r="K21" s="53">
        <f>'4a.Prod 1-6 Unit Sales Forecast'!$E$54*'4a.Prod 1-6 Unit Sales Forecast'!N60</f>
        <v>0</v>
      </c>
      <c r="L21" s="53">
        <f>'4a.Prod 1-6 Unit Sales Forecast'!$E$54*'4a.Prod 1-6 Unit Sales Forecast'!O60</f>
        <v>0</v>
      </c>
      <c r="M21" s="53">
        <f>'4a.Prod 1-6 Unit Sales Forecast'!$E$54*'4a.Prod 1-6 Unit Sales Forecast'!P60</f>
        <v>0</v>
      </c>
      <c r="N21" s="53">
        <f>'4a.Prod 1-6 Unit Sales Forecast'!$E$54*'4a.Prod 1-6 Unit Sales Forecast'!Q60</f>
        <v>0</v>
      </c>
      <c r="O21" s="53">
        <f>'4a.Prod 1-6 Unit Sales Forecast'!$E$54*'4a.Prod 1-6 Unit Sales Forecast'!R60</f>
        <v>0</v>
      </c>
      <c r="P21" s="53">
        <f>'4a.Prod 1-6 Unit Sales Forecast'!$E$54*'4a.Prod 1-6 Unit Sales Forecast'!S60</f>
        <v>0</v>
      </c>
      <c r="Q21" s="45">
        <f t="shared" si="2"/>
        <v>0</v>
      </c>
    </row>
    <row r="22" spans="1:17" ht="12.75" hidden="1" customHeight="1" outlineLevel="1">
      <c r="A22" s="1"/>
      <c r="B22" s="1" t="str">
        <f t="shared" si="3"/>
        <v>Product/Service 4</v>
      </c>
      <c r="C22" s="1"/>
      <c r="D22" s="37"/>
      <c r="E22" s="53">
        <f>'4a.Prod 1-6 Unit Sales Forecast'!$E$76*'4a.Prod 1-6 Unit Sales Forecast'!H82</f>
        <v>0</v>
      </c>
      <c r="F22" s="53">
        <f>'4a.Prod 1-6 Unit Sales Forecast'!$E$76*'4a.Prod 1-6 Unit Sales Forecast'!I82</f>
        <v>0</v>
      </c>
      <c r="G22" s="53">
        <f>'4a.Prod 1-6 Unit Sales Forecast'!$E$76*'4a.Prod 1-6 Unit Sales Forecast'!J82</f>
        <v>0</v>
      </c>
      <c r="H22" s="53">
        <f>'4a.Prod 1-6 Unit Sales Forecast'!$E$76*'4a.Prod 1-6 Unit Sales Forecast'!K82</f>
        <v>0</v>
      </c>
      <c r="I22" s="53">
        <f>'4a.Prod 1-6 Unit Sales Forecast'!$E$76*'4a.Prod 1-6 Unit Sales Forecast'!L82</f>
        <v>0</v>
      </c>
      <c r="J22" s="53">
        <f>'4a.Prod 1-6 Unit Sales Forecast'!$E$76*'4a.Prod 1-6 Unit Sales Forecast'!M82</f>
        <v>0</v>
      </c>
      <c r="K22" s="53">
        <f>'4a.Prod 1-6 Unit Sales Forecast'!$E$76*'4a.Prod 1-6 Unit Sales Forecast'!N82</f>
        <v>0</v>
      </c>
      <c r="L22" s="53">
        <f>'4a.Prod 1-6 Unit Sales Forecast'!$E$76*'4a.Prod 1-6 Unit Sales Forecast'!O82</f>
        <v>0</v>
      </c>
      <c r="M22" s="53">
        <f>'4a.Prod 1-6 Unit Sales Forecast'!$E$76*'4a.Prod 1-6 Unit Sales Forecast'!P82</f>
        <v>0</v>
      </c>
      <c r="N22" s="53">
        <f>'4a.Prod 1-6 Unit Sales Forecast'!$E$76*'4a.Prod 1-6 Unit Sales Forecast'!Q82</f>
        <v>0</v>
      </c>
      <c r="O22" s="53">
        <f>'4a.Prod 1-6 Unit Sales Forecast'!$E$76*'4a.Prod 1-6 Unit Sales Forecast'!R82</f>
        <v>0</v>
      </c>
      <c r="P22" s="53">
        <f>'4a.Prod 1-6 Unit Sales Forecast'!$E$76*'4a.Prod 1-6 Unit Sales Forecast'!S82</f>
        <v>0</v>
      </c>
      <c r="Q22" s="45">
        <f t="shared" si="2"/>
        <v>0</v>
      </c>
    </row>
    <row r="23" spans="1:17" ht="12.75" hidden="1" customHeight="1" outlineLevel="1">
      <c r="A23" s="1"/>
      <c r="B23" s="1" t="str">
        <f t="shared" si="3"/>
        <v>Product/Service 5</v>
      </c>
      <c r="C23" s="1"/>
      <c r="D23" s="37"/>
      <c r="E23" s="53">
        <f>'4a.Prod 1-6 Unit Sales Forecast'!$E$98*'4a.Prod 1-6 Unit Sales Forecast'!H104</f>
        <v>0</v>
      </c>
      <c r="F23" s="53">
        <f>'4a.Prod 1-6 Unit Sales Forecast'!$E$98*'4a.Prod 1-6 Unit Sales Forecast'!I104</f>
        <v>0</v>
      </c>
      <c r="G23" s="53">
        <f>'4a.Prod 1-6 Unit Sales Forecast'!$E$98*'4a.Prod 1-6 Unit Sales Forecast'!J104</f>
        <v>0</v>
      </c>
      <c r="H23" s="53">
        <f>'4a.Prod 1-6 Unit Sales Forecast'!$E$98*'4a.Prod 1-6 Unit Sales Forecast'!K104</f>
        <v>0</v>
      </c>
      <c r="I23" s="53">
        <f>'4a.Prod 1-6 Unit Sales Forecast'!$E$98*'4a.Prod 1-6 Unit Sales Forecast'!L104</f>
        <v>0</v>
      </c>
      <c r="J23" s="53">
        <f>'4a.Prod 1-6 Unit Sales Forecast'!$E$98*'4a.Prod 1-6 Unit Sales Forecast'!M104</f>
        <v>0</v>
      </c>
      <c r="K23" s="53">
        <f>'4a.Prod 1-6 Unit Sales Forecast'!$E$98*'4a.Prod 1-6 Unit Sales Forecast'!N104</f>
        <v>0</v>
      </c>
      <c r="L23" s="53">
        <f>'4a.Prod 1-6 Unit Sales Forecast'!$E$98*'4a.Prod 1-6 Unit Sales Forecast'!O104</f>
        <v>0</v>
      </c>
      <c r="M23" s="53">
        <f>'4a.Prod 1-6 Unit Sales Forecast'!$E$98*'4a.Prod 1-6 Unit Sales Forecast'!P104</f>
        <v>0</v>
      </c>
      <c r="N23" s="53">
        <f>'4a.Prod 1-6 Unit Sales Forecast'!$E$98*'4a.Prod 1-6 Unit Sales Forecast'!Q104</f>
        <v>0</v>
      </c>
      <c r="O23" s="53">
        <f>'4a.Prod 1-6 Unit Sales Forecast'!$E$98*'4a.Prod 1-6 Unit Sales Forecast'!R104</f>
        <v>0</v>
      </c>
      <c r="P23" s="53">
        <f>'4a.Prod 1-6 Unit Sales Forecast'!$E$98*'4a.Prod 1-6 Unit Sales Forecast'!S104</f>
        <v>0</v>
      </c>
      <c r="Q23" s="45">
        <f t="shared" si="2"/>
        <v>0</v>
      </c>
    </row>
    <row r="24" spans="1:17" ht="12.75" hidden="1" customHeight="1" outlineLevel="1">
      <c r="A24" s="1"/>
      <c r="B24" s="1" t="str">
        <f t="shared" si="3"/>
        <v>Product/Service 6</v>
      </c>
      <c r="C24" s="1"/>
      <c r="D24" s="37"/>
      <c r="E24" s="53" t="str">
        <f>IF('4a.Prod 1-6 Unit Sales Forecast'!$E$120&gt;0,'4a.Prod 1-6 Unit Sales Forecast'!$E$120*'4a.Prod 1-6 Unit Sales Forecast'!H126,"")</f>
        <v/>
      </c>
      <c r="F24" s="53" t="str">
        <f>IF('4a.Prod 1-6 Unit Sales Forecast'!$E$120&gt;0,'4a.Prod 1-6 Unit Sales Forecast'!$E$120*'4a.Prod 1-6 Unit Sales Forecast'!I126,"")</f>
        <v/>
      </c>
      <c r="G24" s="53" t="str">
        <f>IF('4a.Prod 1-6 Unit Sales Forecast'!$E$120&gt;0,'4a.Prod 1-6 Unit Sales Forecast'!$E$120*'4a.Prod 1-6 Unit Sales Forecast'!J126,"")</f>
        <v/>
      </c>
      <c r="H24" s="53" t="str">
        <f>IF('4a.Prod 1-6 Unit Sales Forecast'!$E$120&gt;0,'4a.Prod 1-6 Unit Sales Forecast'!$E$120*'4a.Prod 1-6 Unit Sales Forecast'!K126,"")</f>
        <v/>
      </c>
      <c r="I24" s="53" t="str">
        <f>IF('4a.Prod 1-6 Unit Sales Forecast'!$E$120&gt;0,'4a.Prod 1-6 Unit Sales Forecast'!$E$120*'4a.Prod 1-6 Unit Sales Forecast'!L126,"")</f>
        <v/>
      </c>
      <c r="J24" s="53" t="str">
        <f>IF('4a.Prod 1-6 Unit Sales Forecast'!$E$120&gt;0,'4a.Prod 1-6 Unit Sales Forecast'!$E$120*'4a.Prod 1-6 Unit Sales Forecast'!M126,"")</f>
        <v/>
      </c>
      <c r="K24" s="53" t="str">
        <f>IF('4a.Prod 1-6 Unit Sales Forecast'!$E$120&gt;0,'4a.Prod 1-6 Unit Sales Forecast'!$E$120*'4a.Prod 1-6 Unit Sales Forecast'!N126,"")</f>
        <v/>
      </c>
      <c r="L24" s="53" t="str">
        <f>IF('4a.Prod 1-6 Unit Sales Forecast'!$E$120&gt;0,'4a.Prod 1-6 Unit Sales Forecast'!$E$120*'4a.Prod 1-6 Unit Sales Forecast'!O126,"")</f>
        <v/>
      </c>
      <c r="M24" s="53" t="str">
        <f>IF('4a.Prod 1-6 Unit Sales Forecast'!$E$120&gt;0,'4a.Prod 1-6 Unit Sales Forecast'!$E$120*'4a.Prod 1-6 Unit Sales Forecast'!P126,"")</f>
        <v/>
      </c>
      <c r="N24" s="53" t="str">
        <f>IF('4a.Prod 1-6 Unit Sales Forecast'!$E$120&gt;0,'4a.Prod 1-6 Unit Sales Forecast'!$E$120*'4a.Prod 1-6 Unit Sales Forecast'!Q126,"")</f>
        <v/>
      </c>
      <c r="O24" s="53" t="str">
        <f>IF('4a.Prod 1-6 Unit Sales Forecast'!$E$120&gt;0,'4a.Prod 1-6 Unit Sales Forecast'!$E$120*'4a.Prod 1-6 Unit Sales Forecast'!R126,"")</f>
        <v/>
      </c>
      <c r="P24" s="53" t="str">
        <f>IF('4a.Prod 1-6 Unit Sales Forecast'!$E$120&gt;0,'4a.Prod 1-6 Unit Sales Forecast'!$E$120*'4a.Prod 1-6 Unit Sales Forecast'!S126,"")</f>
        <v/>
      </c>
      <c r="Q24" s="45">
        <f t="shared" si="2"/>
        <v>0</v>
      </c>
    </row>
    <row r="25" spans="1:17" ht="12.75" hidden="1" customHeight="1" outlineLevel="1" thickBot="1">
      <c r="A25" s="1"/>
      <c r="B25" s="1" t="str">
        <f t="shared" si="3"/>
        <v>Total of Multi-Product</v>
      </c>
      <c r="C25" s="1"/>
      <c r="D25" s="37"/>
      <c r="E25" s="49">
        <f>+'5.Prod 7-20 Unit Sales Forecast'!H320</f>
        <v>0</v>
      </c>
      <c r="F25" s="49">
        <f>+'5.Prod 7-20 Unit Sales Forecast'!I320</f>
        <v>0</v>
      </c>
      <c r="G25" s="49">
        <f>+'5.Prod 7-20 Unit Sales Forecast'!J320</f>
        <v>0</v>
      </c>
      <c r="H25" s="49">
        <f>+'5.Prod 7-20 Unit Sales Forecast'!K320</f>
        <v>0</v>
      </c>
      <c r="I25" s="49">
        <f>+'5.Prod 7-20 Unit Sales Forecast'!L320</f>
        <v>0</v>
      </c>
      <c r="J25" s="49">
        <f>+'5.Prod 7-20 Unit Sales Forecast'!M320</f>
        <v>0</v>
      </c>
      <c r="K25" s="49">
        <f>+'5.Prod 7-20 Unit Sales Forecast'!N320</f>
        <v>0</v>
      </c>
      <c r="L25" s="49">
        <f>+'5.Prod 7-20 Unit Sales Forecast'!O320</f>
        <v>0</v>
      </c>
      <c r="M25" s="49">
        <f>+'5.Prod 7-20 Unit Sales Forecast'!P320</f>
        <v>0</v>
      </c>
      <c r="N25" s="49">
        <f>+'5.Prod 7-20 Unit Sales Forecast'!Q320</f>
        <v>0</v>
      </c>
      <c r="O25" s="49">
        <f>+'5.Prod 7-20 Unit Sales Forecast'!R320</f>
        <v>0</v>
      </c>
      <c r="P25" s="49">
        <f>+'5.Prod 7-20 Unit Sales Forecast'!S320</f>
        <v>0</v>
      </c>
      <c r="Q25" s="49">
        <f t="shared" si="2"/>
        <v>0</v>
      </c>
    </row>
    <row r="26" spans="1:17" ht="12.75" customHeight="1" collapsed="1">
      <c r="A26" s="1" t="s">
        <v>171</v>
      </c>
      <c r="B26" s="1"/>
      <c r="C26" s="1"/>
      <c r="D26" s="37"/>
      <c r="E26" s="45">
        <f t="shared" ref="E26:Q26" si="4">SUM(E19:E25)</f>
        <v>0</v>
      </c>
      <c r="F26" s="45">
        <f t="shared" si="4"/>
        <v>0</v>
      </c>
      <c r="G26" s="45">
        <f t="shared" si="4"/>
        <v>0</v>
      </c>
      <c r="H26" s="45">
        <f t="shared" si="4"/>
        <v>0</v>
      </c>
      <c r="I26" s="45">
        <f t="shared" si="4"/>
        <v>0</v>
      </c>
      <c r="J26" s="45">
        <f t="shared" si="4"/>
        <v>0</v>
      </c>
      <c r="K26" s="45">
        <f t="shared" si="4"/>
        <v>0</v>
      </c>
      <c r="L26" s="45">
        <f t="shared" si="4"/>
        <v>0</v>
      </c>
      <c r="M26" s="45">
        <f t="shared" si="4"/>
        <v>0</v>
      </c>
      <c r="N26" s="45">
        <f t="shared" si="4"/>
        <v>0</v>
      </c>
      <c r="O26" s="45">
        <f t="shared" si="4"/>
        <v>0</v>
      </c>
      <c r="P26" s="45">
        <f t="shared" si="4"/>
        <v>0</v>
      </c>
      <c r="Q26" s="45">
        <f t="shared" si="4"/>
        <v>0</v>
      </c>
    </row>
    <row r="27" spans="1:17" ht="12.75" customHeight="1">
      <c r="A27" s="1"/>
      <c r="B27" s="1"/>
      <c r="C27" s="1"/>
      <c r="D27" s="37"/>
      <c r="E27" s="53"/>
      <c r="F27" s="53"/>
      <c r="G27" s="53"/>
      <c r="H27" s="53"/>
      <c r="I27" s="53"/>
      <c r="J27" s="53"/>
      <c r="K27" s="53"/>
      <c r="L27" s="53"/>
      <c r="M27" s="53"/>
      <c r="N27" s="53"/>
      <c r="O27" s="53"/>
      <c r="P27" s="53"/>
      <c r="Q27" s="53"/>
    </row>
    <row r="28" spans="1:17" ht="12.75" customHeight="1" thickBot="1">
      <c r="A28" s="1" t="s">
        <v>278</v>
      </c>
      <c r="B28" s="1"/>
      <c r="C28" s="1"/>
      <c r="D28" s="37"/>
      <c r="E28" s="89">
        <f t="shared" ref="E28:Q28" si="5">E16-E26</f>
        <v>0</v>
      </c>
      <c r="F28" s="89">
        <f t="shared" si="5"/>
        <v>0</v>
      </c>
      <c r="G28" s="89">
        <f t="shared" si="5"/>
        <v>0</v>
      </c>
      <c r="H28" s="89">
        <f t="shared" si="5"/>
        <v>0</v>
      </c>
      <c r="I28" s="89">
        <f t="shared" si="5"/>
        <v>0</v>
      </c>
      <c r="J28" s="89">
        <f t="shared" si="5"/>
        <v>0</v>
      </c>
      <c r="K28" s="89">
        <f t="shared" si="5"/>
        <v>0</v>
      </c>
      <c r="L28" s="89">
        <f t="shared" si="5"/>
        <v>0</v>
      </c>
      <c r="M28" s="89">
        <f t="shared" si="5"/>
        <v>0</v>
      </c>
      <c r="N28" s="89">
        <f t="shared" si="5"/>
        <v>0</v>
      </c>
      <c r="O28" s="89">
        <f t="shared" si="5"/>
        <v>0</v>
      </c>
      <c r="P28" s="89">
        <f t="shared" si="5"/>
        <v>0</v>
      </c>
      <c r="Q28" s="89">
        <f t="shared" si="5"/>
        <v>0</v>
      </c>
    </row>
    <row r="29" spans="1:17" ht="12.75" customHeight="1">
      <c r="A29" s="1"/>
      <c r="B29" s="1"/>
      <c r="C29" s="1"/>
      <c r="D29" s="37"/>
      <c r="E29" s="45"/>
      <c r="F29" s="45"/>
      <c r="G29" s="45"/>
      <c r="H29" s="45"/>
      <c r="I29" s="45"/>
      <c r="J29" s="45"/>
      <c r="K29" s="45"/>
      <c r="L29" s="45"/>
      <c r="M29" s="45"/>
      <c r="N29" s="45"/>
      <c r="O29" s="45"/>
      <c r="P29" s="45"/>
      <c r="Q29" s="45"/>
    </row>
    <row r="30" spans="1:17" ht="12.75" customHeight="1" outlineLevel="1">
      <c r="A30" s="1" t="str">
        <f>'2a. Salaries and Wages Summary'!A11</f>
        <v>Salaries and Wages</v>
      </c>
      <c r="B30" s="1"/>
      <c r="C30" s="1"/>
      <c r="D30" s="37"/>
      <c r="E30" s="45"/>
      <c r="F30" s="45"/>
      <c r="G30" s="45"/>
      <c r="H30" s="45"/>
      <c r="I30" s="45"/>
      <c r="J30" s="45"/>
      <c r="K30" s="45"/>
      <c r="L30" s="45"/>
      <c r="M30" s="45"/>
      <c r="N30" s="45"/>
      <c r="O30" s="45"/>
      <c r="P30" s="45"/>
      <c r="Q30" s="45"/>
    </row>
    <row r="31" spans="1:17" ht="12.75" customHeight="1" outlineLevel="1">
      <c r="A31" s="1"/>
      <c r="B31" s="1" t="str">
        <f>'2a. Salaries and Wages Summary'!B12</f>
        <v>Owner's Compensation</v>
      </c>
      <c r="C31" s="1"/>
      <c r="D31" s="37"/>
      <c r="E31" s="45">
        <f>+'2.  Salary and Wage Detail'!B147</f>
        <v>0</v>
      </c>
      <c r="F31" s="45">
        <f>+'2.  Salary and Wage Detail'!C147</f>
        <v>0</v>
      </c>
      <c r="G31" s="45">
        <f>+'2.  Salary and Wage Detail'!D147</f>
        <v>0</v>
      </c>
      <c r="H31" s="45">
        <f>+'2.  Salary and Wage Detail'!E147</f>
        <v>0</v>
      </c>
      <c r="I31" s="45">
        <f>+'2.  Salary and Wage Detail'!F147</f>
        <v>0</v>
      </c>
      <c r="J31" s="45">
        <f>+'2.  Salary and Wage Detail'!G147</f>
        <v>0</v>
      </c>
      <c r="K31" s="45">
        <f>+'2.  Salary and Wage Detail'!H147</f>
        <v>0</v>
      </c>
      <c r="L31" s="45">
        <f>+'2.  Salary and Wage Detail'!I147</f>
        <v>0</v>
      </c>
      <c r="M31" s="45">
        <f>+'2.  Salary and Wage Detail'!J147</f>
        <v>0</v>
      </c>
      <c r="N31" s="45">
        <f>+'2.  Salary and Wage Detail'!K147</f>
        <v>0</v>
      </c>
      <c r="O31" s="45">
        <f>+'2.  Salary and Wage Detail'!L147</f>
        <v>0</v>
      </c>
      <c r="P31" s="45">
        <f>+'2.  Salary and Wage Detail'!M147</f>
        <v>0</v>
      </c>
      <c r="Q31" s="45">
        <f t="shared" ref="Q31:Q36" si="6">SUM(E31:P31)</f>
        <v>0</v>
      </c>
    </row>
    <row r="32" spans="1:17" ht="12.75" customHeight="1" outlineLevel="1">
      <c r="A32" s="1"/>
      <c r="B32" s="1" t="str">
        <f>'2a. Salaries and Wages Summary'!B13</f>
        <v>Salaries</v>
      </c>
      <c r="C32" s="1"/>
      <c r="D32" s="37"/>
      <c r="E32" s="45">
        <f>+'2.  Salary and Wage Detail'!B158</f>
        <v>0</v>
      </c>
      <c r="F32" s="45">
        <f>+'2.  Salary and Wage Detail'!C158</f>
        <v>0</v>
      </c>
      <c r="G32" s="45">
        <f>+'2.  Salary and Wage Detail'!D158</f>
        <v>0</v>
      </c>
      <c r="H32" s="45">
        <f>+'2.  Salary and Wage Detail'!E158</f>
        <v>0</v>
      </c>
      <c r="I32" s="45">
        <f>+'2.  Salary and Wage Detail'!F158</f>
        <v>0</v>
      </c>
      <c r="J32" s="45">
        <f>+'2.  Salary and Wage Detail'!G158</f>
        <v>0</v>
      </c>
      <c r="K32" s="45">
        <f>+'2.  Salary and Wage Detail'!H158</f>
        <v>0</v>
      </c>
      <c r="L32" s="45">
        <f>+'2.  Salary and Wage Detail'!I158</f>
        <v>0</v>
      </c>
      <c r="M32" s="45">
        <f>+'2.  Salary and Wage Detail'!J158</f>
        <v>0</v>
      </c>
      <c r="N32" s="45">
        <f>+'2.  Salary and Wage Detail'!K158</f>
        <v>0</v>
      </c>
      <c r="O32" s="45">
        <f>+'2.  Salary and Wage Detail'!L158</f>
        <v>0</v>
      </c>
      <c r="P32" s="45">
        <f>+'2.  Salary and Wage Detail'!M158</f>
        <v>0</v>
      </c>
      <c r="Q32" s="45">
        <f t="shared" si="6"/>
        <v>0</v>
      </c>
    </row>
    <row r="33" spans="1:17" ht="12.75" customHeight="1" outlineLevel="1">
      <c r="A33" s="1"/>
      <c r="B33" s="1" t="str">
        <f>'2a. Salaries and Wages Summary'!C15</f>
        <v>Full-Time Employees</v>
      </c>
      <c r="C33" s="1"/>
      <c r="D33" s="37"/>
      <c r="E33" s="45">
        <f>+'2.  Salary and Wage Detail'!B177</f>
        <v>0</v>
      </c>
      <c r="F33" s="45">
        <f>+'2.  Salary and Wage Detail'!C177</f>
        <v>0</v>
      </c>
      <c r="G33" s="45">
        <f>+'2.  Salary and Wage Detail'!D177</f>
        <v>0</v>
      </c>
      <c r="H33" s="45">
        <f>+'2.  Salary and Wage Detail'!E177</f>
        <v>0</v>
      </c>
      <c r="I33" s="45">
        <f>+'2.  Salary and Wage Detail'!F177</f>
        <v>0</v>
      </c>
      <c r="J33" s="45">
        <f>+'2.  Salary and Wage Detail'!G177</f>
        <v>0</v>
      </c>
      <c r="K33" s="45">
        <f>+'2.  Salary and Wage Detail'!H177</f>
        <v>0</v>
      </c>
      <c r="L33" s="45">
        <f>+'2.  Salary and Wage Detail'!I177</f>
        <v>0</v>
      </c>
      <c r="M33" s="45">
        <f>+'2.  Salary and Wage Detail'!J177</f>
        <v>0</v>
      </c>
      <c r="N33" s="45">
        <f>+'2.  Salary and Wage Detail'!K177</f>
        <v>0</v>
      </c>
      <c r="O33" s="45">
        <f>+'2.  Salary and Wage Detail'!L177</f>
        <v>0</v>
      </c>
      <c r="P33" s="45">
        <f>+'2.  Salary and Wage Detail'!M177</f>
        <v>0</v>
      </c>
      <c r="Q33" s="45">
        <f t="shared" si="6"/>
        <v>0</v>
      </c>
    </row>
    <row r="34" spans="1:17" ht="12.75" customHeight="1" outlineLevel="1">
      <c r="A34" s="1"/>
      <c r="B34" s="1" t="str">
        <f>'2a. Salaries and Wages Summary'!C18</f>
        <v>Part-Time Employees</v>
      </c>
      <c r="C34" s="1"/>
      <c r="D34" s="37"/>
      <c r="E34" s="45">
        <f>+'2.  Salary and Wage Detail'!B189</f>
        <v>0</v>
      </c>
      <c r="F34" s="45">
        <f>+'2.  Salary and Wage Detail'!C189</f>
        <v>0</v>
      </c>
      <c r="G34" s="45">
        <f>+'2.  Salary and Wage Detail'!D189</f>
        <v>0</v>
      </c>
      <c r="H34" s="45">
        <f>+'2.  Salary and Wage Detail'!E189</f>
        <v>0</v>
      </c>
      <c r="I34" s="45">
        <f>+'2.  Salary and Wage Detail'!F189</f>
        <v>0</v>
      </c>
      <c r="J34" s="45">
        <f>+'2.  Salary and Wage Detail'!G189</f>
        <v>0</v>
      </c>
      <c r="K34" s="45">
        <f>+'2.  Salary and Wage Detail'!H189</f>
        <v>0</v>
      </c>
      <c r="L34" s="45">
        <f>+'2.  Salary and Wage Detail'!I189</f>
        <v>0</v>
      </c>
      <c r="M34" s="45">
        <f>+'2.  Salary and Wage Detail'!J189</f>
        <v>0</v>
      </c>
      <c r="N34" s="45">
        <f>+'2.  Salary and Wage Detail'!K189</f>
        <v>0</v>
      </c>
      <c r="O34" s="45">
        <f>+'2.  Salary and Wage Detail'!L189</f>
        <v>0</v>
      </c>
      <c r="P34" s="45">
        <f>+'2.  Salary and Wage Detail'!M189</f>
        <v>0</v>
      </c>
      <c r="Q34" s="45">
        <f t="shared" si="6"/>
        <v>0</v>
      </c>
    </row>
    <row r="35" spans="1:17" ht="12.75" customHeight="1" outlineLevel="1">
      <c r="A35" s="1"/>
      <c r="B35" s="1" t="str">
        <f>'2a. Salaries and Wages Summary'!B21</f>
        <v>Independent Contractors</v>
      </c>
      <c r="C35" s="1"/>
      <c r="D35" s="37"/>
      <c r="E35" s="45">
        <f>'2a. Salaries and Wages Summary'!Q21/12</f>
        <v>0</v>
      </c>
      <c r="F35" s="45">
        <f t="shared" ref="F35:P35" si="7">E35</f>
        <v>0</v>
      </c>
      <c r="G35" s="45">
        <f t="shared" si="7"/>
        <v>0</v>
      </c>
      <c r="H35" s="45">
        <f t="shared" si="7"/>
        <v>0</v>
      </c>
      <c r="I35" s="45">
        <f t="shared" si="7"/>
        <v>0</v>
      </c>
      <c r="J35" s="45">
        <f t="shared" si="7"/>
        <v>0</v>
      </c>
      <c r="K35" s="45">
        <f t="shared" si="7"/>
        <v>0</v>
      </c>
      <c r="L35" s="45">
        <f t="shared" si="7"/>
        <v>0</v>
      </c>
      <c r="M35" s="45">
        <f t="shared" si="7"/>
        <v>0</v>
      </c>
      <c r="N35" s="45">
        <f t="shared" si="7"/>
        <v>0</v>
      </c>
      <c r="O35" s="45">
        <f t="shared" si="7"/>
        <v>0</v>
      </c>
      <c r="P35" s="45">
        <f t="shared" si="7"/>
        <v>0</v>
      </c>
      <c r="Q35" s="45">
        <f t="shared" si="6"/>
        <v>0</v>
      </c>
    </row>
    <row r="36" spans="1:17" ht="12.75" customHeight="1" outlineLevel="1" thickBot="1">
      <c r="A36" s="1"/>
      <c r="B36" s="1" t="str">
        <f>'2a. Salaries and Wages Summary'!A24</f>
        <v>Payroll Taxes and Benefits</v>
      </c>
      <c r="C36" s="1"/>
      <c r="D36" s="37"/>
      <c r="E36" s="49">
        <f>+(SUM(E31:E34)*'2a. Salaries and Wages Summary'!$I$33)</f>
        <v>0</v>
      </c>
      <c r="F36" s="49">
        <f>+(SUM(F31:F34)*'2a. Salaries and Wages Summary'!$I$33)</f>
        <v>0</v>
      </c>
      <c r="G36" s="49">
        <f>+(SUM(G31:G34)*'2a. Salaries and Wages Summary'!$I$33)</f>
        <v>0</v>
      </c>
      <c r="H36" s="49">
        <f>+(SUM(H31:H34)*'2a. Salaries and Wages Summary'!$I$33)</f>
        <v>0</v>
      </c>
      <c r="I36" s="49">
        <f>+(SUM(I31:I34)*'2a. Salaries and Wages Summary'!$I$33)</f>
        <v>0</v>
      </c>
      <c r="J36" s="49">
        <f>+(SUM(J31:J34)*'2a. Salaries and Wages Summary'!$I$33)</f>
        <v>0</v>
      </c>
      <c r="K36" s="49">
        <f>+(SUM(K31:K34)*'2a. Salaries and Wages Summary'!$I$33)</f>
        <v>0</v>
      </c>
      <c r="L36" s="49">
        <f>+(SUM(L31:L34)*'2a. Salaries and Wages Summary'!$I$33)</f>
        <v>0</v>
      </c>
      <c r="M36" s="49">
        <f>+(SUM(M31:M34)*'2a. Salaries and Wages Summary'!$I$33)</f>
        <v>0</v>
      </c>
      <c r="N36" s="49">
        <f>+(SUM(N31:N34)*'2a. Salaries and Wages Summary'!$I$33)</f>
        <v>0</v>
      </c>
      <c r="O36" s="49">
        <f>+(SUM(O31:O34)*'2a. Salaries and Wages Summary'!$I$33)</f>
        <v>0</v>
      </c>
      <c r="P36" s="49">
        <f>+(SUM(P31:P34)*'2a. Salaries and Wages Summary'!$I$33)</f>
        <v>0</v>
      </c>
      <c r="Q36" s="49">
        <f t="shared" si="6"/>
        <v>0</v>
      </c>
    </row>
    <row r="37" spans="1:17" ht="12.75" customHeight="1">
      <c r="A37" s="1" t="s">
        <v>174</v>
      </c>
      <c r="B37" s="1"/>
      <c r="C37" s="1"/>
      <c r="D37" s="37"/>
      <c r="E37" s="45">
        <f t="shared" ref="E37:Q37" si="8">SUM(E31:E36)</f>
        <v>0</v>
      </c>
      <c r="F37" s="45">
        <f t="shared" si="8"/>
        <v>0</v>
      </c>
      <c r="G37" s="45">
        <f t="shared" si="8"/>
        <v>0</v>
      </c>
      <c r="H37" s="45">
        <f t="shared" si="8"/>
        <v>0</v>
      </c>
      <c r="I37" s="45">
        <f t="shared" si="8"/>
        <v>0</v>
      </c>
      <c r="J37" s="45">
        <f t="shared" si="8"/>
        <v>0</v>
      </c>
      <c r="K37" s="45">
        <f t="shared" si="8"/>
        <v>0</v>
      </c>
      <c r="L37" s="45">
        <f t="shared" si="8"/>
        <v>0</v>
      </c>
      <c r="M37" s="45">
        <f t="shared" si="8"/>
        <v>0</v>
      </c>
      <c r="N37" s="45">
        <f t="shared" si="8"/>
        <v>0</v>
      </c>
      <c r="O37" s="45">
        <f t="shared" si="8"/>
        <v>0</v>
      </c>
      <c r="P37" s="45">
        <f t="shared" si="8"/>
        <v>0</v>
      </c>
      <c r="Q37" s="45">
        <f t="shared" si="8"/>
        <v>0</v>
      </c>
    </row>
    <row r="38" spans="1:17" ht="12.75" customHeight="1" thickBot="1">
      <c r="A38" s="1"/>
      <c r="B38" s="1"/>
      <c r="C38" s="1"/>
      <c r="D38" s="37"/>
      <c r="E38" s="45"/>
      <c r="F38" s="45"/>
      <c r="G38" s="45"/>
      <c r="H38" s="45"/>
      <c r="I38" s="45"/>
      <c r="J38" s="45"/>
      <c r="K38" s="45"/>
      <c r="L38" s="45"/>
      <c r="M38" s="45"/>
      <c r="N38" s="45"/>
      <c r="O38" s="45"/>
      <c r="P38" s="45"/>
      <c r="Q38" s="45"/>
    </row>
    <row r="39" spans="1:17" ht="12.75" hidden="1" customHeight="1" outlineLevel="1">
      <c r="A39" s="1" t="s">
        <v>313</v>
      </c>
      <c r="B39" s="1"/>
      <c r="C39" s="1"/>
      <c r="D39" s="37"/>
      <c r="E39" s="45"/>
      <c r="F39" s="45"/>
      <c r="G39" s="45"/>
      <c r="H39" s="45"/>
      <c r="I39" s="45"/>
      <c r="J39" s="45"/>
      <c r="K39" s="45"/>
      <c r="L39" s="45"/>
      <c r="M39" s="45"/>
      <c r="N39" s="45"/>
      <c r="O39" s="45"/>
      <c r="P39" s="45"/>
      <c r="Q39" s="45"/>
    </row>
    <row r="40" spans="1:17" ht="12.75" hidden="1" customHeight="1" outlineLevel="1">
      <c r="A40" s="1"/>
      <c r="B40" s="1" t="str">
        <f>'3. Fixed Operating Expenses'!B11</f>
        <v>Advertising</v>
      </c>
      <c r="C40" s="1"/>
      <c r="D40" s="37"/>
      <c r="E40" s="45">
        <f>'3. Fixed Operating Expenses'!K11/12</f>
        <v>0</v>
      </c>
      <c r="F40" s="86">
        <f t="shared" ref="F40:P40" si="9">E40</f>
        <v>0</v>
      </c>
      <c r="G40" s="86">
        <f t="shared" si="9"/>
        <v>0</v>
      </c>
      <c r="H40" s="86">
        <f t="shared" si="9"/>
        <v>0</v>
      </c>
      <c r="I40" s="86">
        <f t="shared" si="9"/>
        <v>0</v>
      </c>
      <c r="J40" s="86">
        <f t="shared" si="9"/>
        <v>0</v>
      </c>
      <c r="K40" s="86">
        <f t="shared" si="9"/>
        <v>0</v>
      </c>
      <c r="L40" s="86">
        <f t="shared" si="9"/>
        <v>0</v>
      </c>
      <c r="M40" s="86">
        <f t="shared" si="9"/>
        <v>0</v>
      </c>
      <c r="N40" s="86">
        <f t="shared" si="9"/>
        <v>0</v>
      </c>
      <c r="O40" s="86">
        <f t="shared" si="9"/>
        <v>0</v>
      </c>
      <c r="P40" s="86">
        <f t="shared" si="9"/>
        <v>0</v>
      </c>
      <c r="Q40" s="45">
        <f t="shared" ref="Q40:Q59" si="10">SUM(E40:P40)</f>
        <v>0</v>
      </c>
    </row>
    <row r="41" spans="1:17" ht="12.75" hidden="1" customHeight="1" outlineLevel="1">
      <c r="A41" s="1"/>
      <c r="B41" s="1" t="str">
        <f>'3. Fixed Operating Expenses'!B12</f>
        <v>Car and Truck Expenses</v>
      </c>
      <c r="C41" s="1"/>
      <c r="D41" s="37"/>
      <c r="E41" s="45">
        <f>'3. Fixed Operating Expenses'!K12/12</f>
        <v>0</v>
      </c>
      <c r="F41" s="86">
        <f t="shared" ref="F41:P41" si="11">E41</f>
        <v>0</v>
      </c>
      <c r="G41" s="86">
        <f t="shared" si="11"/>
        <v>0</v>
      </c>
      <c r="H41" s="86">
        <f t="shared" si="11"/>
        <v>0</v>
      </c>
      <c r="I41" s="86">
        <f t="shared" si="11"/>
        <v>0</v>
      </c>
      <c r="J41" s="86">
        <f t="shared" si="11"/>
        <v>0</v>
      </c>
      <c r="K41" s="86">
        <f t="shared" si="11"/>
        <v>0</v>
      </c>
      <c r="L41" s="86">
        <f t="shared" si="11"/>
        <v>0</v>
      </c>
      <c r="M41" s="86">
        <f t="shared" si="11"/>
        <v>0</v>
      </c>
      <c r="N41" s="86">
        <f t="shared" si="11"/>
        <v>0</v>
      </c>
      <c r="O41" s="86">
        <f t="shared" si="11"/>
        <v>0</v>
      </c>
      <c r="P41" s="86">
        <f t="shared" si="11"/>
        <v>0</v>
      </c>
      <c r="Q41" s="45">
        <f t="shared" si="10"/>
        <v>0</v>
      </c>
    </row>
    <row r="42" spans="1:17" ht="12.75" hidden="1" customHeight="1" outlineLevel="1">
      <c r="A42" s="1"/>
      <c r="B42" s="1" t="str">
        <f>'3. Fixed Operating Expenses'!B13</f>
        <v>Bank &amp; Merchant Fees</v>
      </c>
      <c r="C42" s="1"/>
      <c r="D42" s="37"/>
      <c r="E42" s="45">
        <f>'3. Fixed Operating Expenses'!K13/12</f>
        <v>0</v>
      </c>
      <c r="F42" s="86">
        <f t="shared" ref="F42:P42" si="12">E42</f>
        <v>0</v>
      </c>
      <c r="G42" s="86">
        <f t="shared" si="12"/>
        <v>0</v>
      </c>
      <c r="H42" s="86">
        <f t="shared" si="12"/>
        <v>0</v>
      </c>
      <c r="I42" s="86">
        <f t="shared" si="12"/>
        <v>0</v>
      </c>
      <c r="J42" s="86">
        <f t="shared" si="12"/>
        <v>0</v>
      </c>
      <c r="K42" s="86">
        <f t="shared" si="12"/>
        <v>0</v>
      </c>
      <c r="L42" s="86">
        <f t="shared" si="12"/>
        <v>0</v>
      </c>
      <c r="M42" s="86">
        <f t="shared" si="12"/>
        <v>0</v>
      </c>
      <c r="N42" s="86">
        <f t="shared" si="12"/>
        <v>0</v>
      </c>
      <c r="O42" s="86">
        <f t="shared" si="12"/>
        <v>0</v>
      </c>
      <c r="P42" s="86">
        <f t="shared" si="12"/>
        <v>0</v>
      </c>
      <c r="Q42" s="45">
        <f t="shared" si="10"/>
        <v>0</v>
      </c>
    </row>
    <row r="43" spans="1:17" ht="12.75" hidden="1" customHeight="1" outlineLevel="1">
      <c r="A43" s="1"/>
      <c r="B43" s="1" t="str">
        <f>'3. Fixed Operating Expenses'!B14</f>
        <v>Contract Labor</v>
      </c>
      <c r="C43" s="1"/>
      <c r="D43" s="37"/>
      <c r="E43" s="45">
        <f>'3. Fixed Operating Expenses'!K14/12</f>
        <v>0</v>
      </c>
      <c r="F43" s="86">
        <f t="shared" ref="F43:P43" si="13">E43</f>
        <v>0</v>
      </c>
      <c r="G43" s="86">
        <f t="shared" si="13"/>
        <v>0</v>
      </c>
      <c r="H43" s="86">
        <f t="shared" si="13"/>
        <v>0</v>
      </c>
      <c r="I43" s="86">
        <f t="shared" si="13"/>
        <v>0</v>
      </c>
      <c r="J43" s="86">
        <f t="shared" si="13"/>
        <v>0</v>
      </c>
      <c r="K43" s="86">
        <f t="shared" si="13"/>
        <v>0</v>
      </c>
      <c r="L43" s="86">
        <f t="shared" si="13"/>
        <v>0</v>
      </c>
      <c r="M43" s="86">
        <f t="shared" si="13"/>
        <v>0</v>
      </c>
      <c r="N43" s="86">
        <f t="shared" si="13"/>
        <v>0</v>
      </c>
      <c r="O43" s="86">
        <f t="shared" si="13"/>
        <v>0</v>
      </c>
      <c r="P43" s="86">
        <f t="shared" si="13"/>
        <v>0</v>
      </c>
      <c r="Q43" s="45">
        <f t="shared" si="10"/>
        <v>0</v>
      </c>
    </row>
    <row r="44" spans="1:17" ht="12.75" hidden="1" customHeight="1" outlineLevel="1">
      <c r="A44" s="1"/>
      <c r="B44" s="1" t="str">
        <f>'3. Fixed Operating Expenses'!B15</f>
        <v>Conferences &amp; Seminars</v>
      </c>
      <c r="C44" s="1"/>
      <c r="D44" s="37"/>
      <c r="E44" s="45">
        <f>'3. Fixed Operating Expenses'!K15/12</f>
        <v>0</v>
      </c>
      <c r="F44" s="86">
        <f t="shared" ref="F44:P44" si="14">E44</f>
        <v>0</v>
      </c>
      <c r="G44" s="86">
        <f t="shared" si="14"/>
        <v>0</v>
      </c>
      <c r="H44" s="86">
        <f t="shared" si="14"/>
        <v>0</v>
      </c>
      <c r="I44" s="86">
        <f t="shared" si="14"/>
        <v>0</v>
      </c>
      <c r="J44" s="86">
        <f t="shared" si="14"/>
        <v>0</v>
      </c>
      <c r="K44" s="86">
        <f t="shared" si="14"/>
        <v>0</v>
      </c>
      <c r="L44" s="86">
        <f t="shared" si="14"/>
        <v>0</v>
      </c>
      <c r="M44" s="86">
        <f t="shared" si="14"/>
        <v>0</v>
      </c>
      <c r="N44" s="86">
        <f t="shared" si="14"/>
        <v>0</v>
      </c>
      <c r="O44" s="86">
        <f t="shared" si="14"/>
        <v>0</v>
      </c>
      <c r="P44" s="86">
        <f t="shared" si="14"/>
        <v>0</v>
      </c>
      <c r="Q44" s="45">
        <f t="shared" si="10"/>
        <v>0</v>
      </c>
    </row>
    <row r="45" spans="1:17" ht="12.75" hidden="1" customHeight="1" outlineLevel="1">
      <c r="A45" s="1"/>
      <c r="B45" s="1" t="str">
        <f>'3. Fixed Operating Expenses'!B16</f>
        <v>Customer Discounts and Refunds</v>
      </c>
      <c r="C45" s="1"/>
      <c r="D45" s="37"/>
      <c r="E45" s="45">
        <f>'3. Fixed Operating Expenses'!K16/12</f>
        <v>0</v>
      </c>
      <c r="F45" s="86">
        <f t="shared" ref="F45:P45" si="15">E45</f>
        <v>0</v>
      </c>
      <c r="G45" s="86">
        <f t="shared" si="15"/>
        <v>0</v>
      </c>
      <c r="H45" s="86">
        <f t="shared" si="15"/>
        <v>0</v>
      </c>
      <c r="I45" s="86">
        <f t="shared" si="15"/>
        <v>0</v>
      </c>
      <c r="J45" s="86">
        <f t="shared" si="15"/>
        <v>0</v>
      </c>
      <c r="K45" s="86">
        <f t="shared" si="15"/>
        <v>0</v>
      </c>
      <c r="L45" s="86">
        <f t="shared" si="15"/>
        <v>0</v>
      </c>
      <c r="M45" s="86">
        <f t="shared" si="15"/>
        <v>0</v>
      </c>
      <c r="N45" s="86">
        <f t="shared" si="15"/>
        <v>0</v>
      </c>
      <c r="O45" s="86">
        <f t="shared" si="15"/>
        <v>0</v>
      </c>
      <c r="P45" s="86">
        <f t="shared" si="15"/>
        <v>0</v>
      </c>
      <c r="Q45" s="45">
        <f t="shared" si="10"/>
        <v>0</v>
      </c>
    </row>
    <row r="46" spans="1:17" ht="12.75" hidden="1" customHeight="1" outlineLevel="1">
      <c r="A46" s="1"/>
      <c r="B46" s="1" t="str">
        <f>'3. Fixed Operating Expenses'!B17</f>
        <v>Dues and Subscriptions</v>
      </c>
      <c r="C46" s="1"/>
      <c r="D46" s="37"/>
      <c r="E46" s="45">
        <f>'3. Fixed Operating Expenses'!K17/12</f>
        <v>0</v>
      </c>
      <c r="F46" s="86">
        <f t="shared" ref="F46:P46" si="16">E46</f>
        <v>0</v>
      </c>
      <c r="G46" s="86">
        <f t="shared" si="16"/>
        <v>0</v>
      </c>
      <c r="H46" s="86">
        <f t="shared" si="16"/>
        <v>0</v>
      </c>
      <c r="I46" s="86">
        <f t="shared" si="16"/>
        <v>0</v>
      </c>
      <c r="J46" s="86">
        <f t="shared" si="16"/>
        <v>0</v>
      </c>
      <c r="K46" s="86">
        <f t="shared" si="16"/>
        <v>0</v>
      </c>
      <c r="L46" s="86">
        <f t="shared" si="16"/>
        <v>0</v>
      </c>
      <c r="M46" s="86">
        <f t="shared" si="16"/>
        <v>0</v>
      </c>
      <c r="N46" s="86">
        <f t="shared" si="16"/>
        <v>0</v>
      </c>
      <c r="O46" s="86">
        <f t="shared" si="16"/>
        <v>0</v>
      </c>
      <c r="P46" s="86">
        <f t="shared" si="16"/>
        <v>0</v>
      </c>
      <c r="Q46" s="45">
        <f t="shared" si="10"/>
        <v>0</v>
      </c>
    </row>
    <row r="47" spans="1:17" ht="12.75" hidden="1" customHeight="1" outlineLevel="1">
      <c r="A47" s="1"/>
      <c r="B47" s="1" t="str">
        <f>'3. Fixed Operating Expenses'!B18</f>
        <v>Miscellaneous</v>
      </c>
      <c r="C47" s="1"/>
      <c r="D47" s="37"/>
      <c r="E47" s="45">
        <f>'3. Fixed Operating Expenses'!K18/12</f>
        <v>0</v>
      </c>
      <c r="F47" s="86">
        <f t="shared" ref="F47:P47" si="17">E47</f>
        <v>0</v>
      </c>
      <c r="G47" s="86">
        <f t="shared" si="17"/>
        <v>0</v>
      </c>
      <c r="H47" s="86">
        <f t="shared" si="17"/>
        <v>0</v>
      </c>
      <c r="I47" s="86">
        <f t="shared" si="17"/>
        <v>0</v>
      </c>
      <c r="J47" s="86">
        <f t="shared" si="17"/>
        <v>0</v>
      </c>
      <c r="K47" s="86">
        <f t="shared" si="17"/>
        <v>0</v>
      </c>
      <c r="L47" s="86">
        <f t="shared" si="17"/>
        <v>0</v>
      </c>
      <c r="M47" s="86">
        <f t="shared" si="17"/>
        <v>0</v>
      </c>
      <c r="N47" s="86">
        <f t="shared" si="17"/>
        <v>0</v>
      </c>
      <c r="O47" s="86">
        <f t="shared" si="17"/>
        <v>0</v>
      </c>
      <c r="P47" s="86">
        <f t="shared" si="17"/>
        <v>0</v>
      </c>
      <c r="Q47" s="45">
        <f t="shared" si="10"/>
        <v>0</v>
      </c>
    </row>
    <row r="48" spans="1:17" ht="12.75" hidden="1" customHeight="1" outlineLevel="1">
      <c r="A48" s="1"/>
      <c r="B48" s="1" t="str">
        <f>'3. Fixed Operating Expenses'!B19</f>
        <v>Insurance (Liability and Property)</v>
      </c>
      <c r="C48" s="1"/>
      <c r="D48" s="37"/>
      <c r="E48" s="45">
        <f>'3. Fixed Operating Expenses'!K19/12</f>
        <v>0</v>
      </c>
      <c r="F48" s="86">
        <f t="shared" ref="F48:P48" si="18">E48</f>
        <v>0</v>
      </c>
      <c r="G48" s="86">
        <f t="shared" si="18"/>
        <v>0</v>
      </c>
      <c r="H48" s="86">
        <f t="shared" si="18"/>
        <v>0</v>
      </c>
      <c r="I48" s="86">
        <f t="shared" si="18"/>
        <v>0</v>
      </c>
      <c r="J48" s="86">
        <f t="shared" si="18"/>
        <v>0</v>
      </c>
      <c r="K48" s="86">
        <f t="shared" si="18"/>
        <v>0</v>
      </c>
      <c r="L48" s="86">
        <f t="shared" si="18"/>
        <v>0</v>
      </c>
      <c r="M48" s="86">
        <f t="shared" si="18"/>
        <v>0</v>
      </c>
      <c r="N48" s="86">
        <f t="shared" si="18"/>
        <v>0</v>
      </c>
      <c r="O48" s="86">
        <f t="shared" si="18"/>
        <v>0</v>
      </c>
      <c r="P48" s="86">
        <f t="shared" si="18"/>
        <v>0</v>
      </c>
      <c r="Q48" s="45">
        <f t="shared" si="10"/>
        <v>0</v>
      </c>
    </row>
    <row r="49" spans="1:17" ht="12.75" hidden="1" customHeight="1" outlineLevel="1">
      <c r="A49" s="1"/>
      <c r="B49" s="1" t="str">
        <f>'3. Fixed Operating Expenses'!B20</f>
        <v>Licenses/Fees/Permits</v>
      </c>
      <c r="C49" s="1"/>
      <c r="D49" s="37"/>
      <c r="E49" s="45">
        <f>'3. Fixed Operating Expenses'!K20/12</f>
        <v>0</v>
      </c>
      <c r="F49" s="86">
        <f t="shared" ref="F49:P49" si="19">E49</f>
        <v>0</v>
      </c>
      <c r="G49" s="86">
        <f t="shared" si="19"/>
        <v>0</v>
      </c>
      <c r="H49" s="86">
        <f t="shared" si="19"/>
        <v>0</v>
      </c>
      <c r="I49" s="86">
        <f t="shared" si="19"/>
        <v>0</v>
      </c>
      <c r="J49" s="86">
        <f t="shared" si="19"/>
        <v>0</v>
      </c>
      <c r="K49" s="86">
        <f t="shared" si="19"/>
        <v>0</v>
      </c>
      <c r="L49" s="86">
        <f t="shared" si="19"/>
        <v>0</v>
      </c>
      <c r="M49" s="86">
        <f t="shared" si="19"/>
        <v>0</v>
      </c>
      <c r="N49" s="86">
        <f t="shared" si="19"/>
        <v>0</v>
      </c>
      <c r="O49" s="86">
        <f t="shared" si="19"/>
        <v>0</v>
      </c>
      <c r="P49" s="86">
        <f t="shared" si="19"/>
        <v>0</v>
      </c>
      <c r="Q49" s="45">
        <f t="shared" si="10"/>
        <v>0</v>
      </c>
    </row>
    <row r="50" spans="1:17" ht="12.75" hidden="1" customHeight="1" outlineLevel="1">
      <c r="A50" s="1"/>
      <c r="B50" s="1" t="str">
        <f>'3. Fixed Operating Expenses'!B21</f>
        <v>Legal and Professional Fees</v>
      </c>
      <c r="C50" s="1"/>
      <c r="D50" s="37"/>
      <c r="E50" s="45">
        <f>'3. Fixed Operating Expenses'!K21/12</f>
        <v>0</v>
      </c>
      <c r="F50" s="86">
        <f t="shared" ref="F50:P50" si="20">E50</f>
        <v>0</v>
      </c>
      <c r="G50" s="86">
        <f t="shared" si="20"/>
        <v>0</v>
      </c>
      <c r="H50" s="86">
        <f t="shared" si="20"/>
        <v>0</v>
      </c>
      <c r="I50" s="86">
        <f t="shared" si="20"/>
        <v>0</v>
      </c>
      <c r="J50" s="86">
        <f t="shared" si="20"/>
        <v>0</v>
      </c>
      <c r="K50" s="86">
        <f t="shared" si="20"/>
        <v>0</v>
      </c>
      <c r="L50" s="86">
        <f t="shared" si="20"/>
        <v>0</v>
      </c>
      <c r="M50" s="86">
        <f t="shared" si="20"/>
        <v>0</v>
      </c>
      <c r="N50" s="86">
        <f t="shared" si="20"/>
        <v>0</v>
      </c>
      <c r="O50" s="86">
        <f t="shared" si="20"/>
        <v>0</v>
      </c>
      <c r="P50" s="86">
        <f t="shared" si="20"/>
        <v>0</v>
      </c>
      <c r="Q50" s="45">
        <f t="shared" si="10"/>
        <v>0</v>
      </c>
    </row>
    <row r="51" spans="1:17" ht="12.75" hidden="1" customHeight="1" outlineLevel="1">
      <c r="A51" s="1"/>
      <c r="B51" s="1" t="str">
        <f>'3. Fixed Operating Expenses'!B22</f>
        <v>Office Expenses &amp; Supplies</v>
      </c>
      <c r="C51" s="1"/>
      <c r="D51" s="37"/>
      <c r="E51" s="45">
        <f>'3. Fixed Operating Expenses'!K22/12</f>
        <v>0</v>
      </c>
      <c r="F51" s="86">
        <f t="shared" ref="F51:P51" si="21">E51</f>
        <v>0</v>
      </c>
      <c r="G51" s="86">
        <f t="shared" si="21"/>
        <v>0</v>
      </c>
      <c r="H51" s="86">
        <f t="shared" si="21"/>
        <v>0</v>
      </c>
      <c r="I51" s="86">
        <f t="shared" si="21"/>
        <v>0</v>
      </c>
      <c r="J51" s="86">
        <f t="shared" si="21"/>
        <v>0</v>
      </c>
      <c r="K51" s="86">
        <f t="shared" si="21"/>
        <v>0</v>
      </c>
      <c r="L51" s="86">
        <f t="shared" si="21"/>
        <v>0</v>
      </c>
      <c r="M51" s="86">
        <f t="shared" si="21"/>
        <v>0</v>
      </c>
      <c r="N51" s="86">
        <f t="shared" si="21"/>
        <v>0</v>
      </c>
      <c r="O51" s="86">
        <f t="shared" si="21"/>
        <v>0</v>
      </c>
      <c r="P51" s="86">
        <f t="shared" si="21"/>
        <v>0</v>
      </c>
      <c r="Q51" s="45">
        <f t="shared" si="10"/>
        <v>0</v>
      </c>
    </row>
    <row r="52" spans="1:17" ht="12.75" hidden="1" customHeight="1" outlineLevel="1">
      <c r="A52" s="1"/>
      <c r="B52" s="1" t="str">
        <f>'3. Fixed Operating Expenses'!B23</f>
        <v>Postage and Delivery</v>
      </c>
      <c r="C52" s="1"/>
      <c r="D52" s="37"/>
      <c r="E52" s="45">
        <f>'3. Fixed Operating Expenses'!K23/12</f>
        <v>0</v>
      </c>
      <c r="F52" s="86">
        <f t="shared" ref="F52:P52" si="22">E52</f>
        <v>0</v>
      </c>
      <c r="G52" s="86">
        <f t="shared" si="22"/>
        <v>0</v>
      </c>
      <c r="H52" s="86">
        <f t="shared" si="22"/>
        <v>0</v>
      </c>
      <c r="I52" s="86">
        <f t="shared" si="22"/>
        <v>0</v>
      </c>
      <c r="J52" s="86">
        <f t="shared" si="22"/>
        <v>0</v>
      </c>
      <c r="K52" s="86">
        <f t="shared" si="22"/>
        <v>0</v>
      </c>
      <c r="L52" s="86">
        <f t="shared" si="22"/>
        <v>0</v>
      </c>
      <c r="M52" s="86">
        <f t="shared" si="22"/>
        <v>0</v>
      </c>
      <c r="N52" s="86">
        <f t="shared" si="22"/>
        <v>0</v>
      </c>
      <c r="O52" s="86">
        <f t="shared" si="22"/>
        <v>0</v>
      </c>
      <c r="P52" s="86">
        <f t="shared" si="22"/>
        <v>0</v>
      </c>
      <c r="Q52" s="45">
        <f t="shared" si="10"/>
        <v>0</v>
      </c>
    </row>
    <row r="53" spans="1:17" ht="12.75" hidden="1" customHeight="1" outlineLevel="1">
      <c r="A53" s="1"/>
      <c r="B53" s="1" t="str">
        <f>'3. Fixed Operating Expenses'!B24</f>
        <v>Rent (on business property)</v>
      </c>
      <c r="C53" s="1"/>
      <c r="D53" s="37"/>
      <c r="E53" s="45">
        <f>'3. Fixed Operating Expenses'!K24/12</f>
        <v>0</v>
      </c>
      <c r="F53" s="86">
        <f t="shared" ref="F53:P53" si="23">E53</f>
        <v>0</v>
      </c>
      <c r="G53" s="86">
        <f t="shared" si="23"/>
        <v>0</v>
      </c>
      <c r="H53" s="86">
        <f t="shared" si="23"/>
        <v>0</v>
      </c>
      <c r="I53" s="86">
        <f t="shared" si="23"/>
        <v>0</v>
      </c>
      <c r="J53" s="86">
        <f t="shared" si="23"/>
        <v>0</v>
      </c>
      <c r="K53" s="86">
        <f t="shared" si="23"/>
        <v>0</v>
      </c>
      <c r="L53" s="86">
        <f t="shared" si="23"/>
        <v>0</v>
      </c>
      <c r="M53" s="86">
        <f t="shared" si="23"/>
        <v>0</v>
      </c>
      <c r="N53" s="86">
        <f t="shared" si="23"/>
        <v>0</v>
      </c>
      <c r="O53" s="86">
        <f t="shared" si="23"/>
        <v>0</v>
      </c>
      <c r="P53" s="86">
        <f t="shared" si="23"/>
        <v>0</v>
      </c>
      <c r="Q53" s="45">
        <f t="shared" si="10"/>
        <v>0</v>
      </c>
    </row>
    <row r="54" spans="1:17" ht="12.75" hidden="1" customHeight="1" outlineLevel="1">
      <c r="A54" s="1"/>
      <c r="B54" s="1" t="str">
        <f>'3. Fixed Operating Expenses'!B25</f>
        <v>Rent of Vehicles and Equipment</v>
      </c>
      <c r="C54" s="1"/>
      <c r="D54" s="37"/>
      <c r="E54" s="45">
        <f>'3. Fixed Operating Expenses'!K25/12</f>
        <v>0</v>
      </c>
      <c r="F54" s="86">
        <f t="shared" ref="F54:P54" si="24">E54</f>
        <v>0</v>
      </c>
      <c r="G54" s="86">
        <f t="shared" si="24"/>
        <v>0</v>
      </c>
      <c r="H54" s="86">
        <f t="shared" si="24"/>
        <v>0</v>
      </c>
      <c r="I54" s="86">
        <f t="shared" si="24"/>
        <v>0</v>
      </c>
      <c r="J54" s="86">
        <f t="shared" si="24"/>
        <v>0</v>
      </c>
      <c r="K54" s="86">
        <f t="shared" si="24"/>
        <v>0</v>
      </c>
      <c r="L54" s="86">
        <f t="shared" si="24"/>
        <v>0</v>
      </c>
      <c r="M54" s="86">
        <f t="shared" si="24"/>
        <v>0</v>
      </c>
      <c r="N54" s="86">
        <f t="shared" si="24"/>
        <v>0</v>
      </c>
      <c r="O54" s="86">
        <f t="shared" si="24"/>
        <v>0</v>
      </c>
      <c r="P54" s="86">
        <f t="shared" si="24"/>
        <v>0</v>
      </c>
      <c r="Q54" s="45">
        <f t="shared" si="10"/>
        <v>0</v>
      </c>
    </row>
    <row r="55" spans="1:17" ht="12.75" hidden="1" customHeight="1" outlineLevel="1">
      <c r="A55" s="1"/>
      <c r="B55" s="1" t="str">
        <f>'3. Fixed Operating Expenses'!B26</f>
        <v>Sales &amp; Marketing</v>
      </c>
      <c r="C55" s="1"/>
      <c r="D55" s="37"/>
      <c r="E55" s="45">
        <f>'3. Fixed Operating Expenses'!K26/12</f>
        <v>0</v>
      </c>
      <c r="F55" s="86">
        <f t="shared" ref="F55:P55" si="25">E55</f>
        <v>0</v>
      </c>
      <c r="G55" s="86">
        <f t="shared" si="25"/>
        <v>0</v>
      </c>
      <c r="H55" s="86">
        <f t="shared" si="25"/>
        <v>0</v>
      </c>
      <c r="I55" s="86">
        <f t="shared" si="25"/>
        <v>0</v>
      </c>
      <c r="J55" s="86">
        <f t="shared" si="25"/>
        <v>0</v>
      </c>
      <c r="K55" s="86">
        <f t="shared" si="25"/>
        <v>0</v>
      </c>
      <c r="L55" s="86">
        <f t="shared" si="25"/>
        <v>0</v>
      </c>
      <c r="M55" s="86">
        <f t="shared" si="25"/>
        <v>0</v>
      </c>
      <c r="N55" s="86">
        <f t="shared" si="25"/>
        <v>0</v>
      </c>
      <c r="O55" s="86">
        <f t="shared" si="25"/>
        <v>0</v>
      </c>
      <c r="P55" s="86">
        <f t="shared" si="25"/>
        <v>0</v>
      </c>
      <c r="Q55" s="45">
        <f t="shared" si="10"/>
        <v>0</v>
      </c>
    </row>
    <row r="56" spans="1:17" ht="12.75" hidden="1" customHeight="1" outlineLevel="1">
      <c r="A56" s="1"/>
      <c r="B56" s="1" t="str">
        <f>'3. Fixed Operating Expenses'!B27</f>
        <v>Taxes-Other</v>
      </c>
      <c r="C56" s="1"/>
      <c r="D56" s="37"/>
      <c r="E56" s="45">
        <f>'3. Fixed Operating Expenses'!K27/12</f>
        <v>0</v>
      </c>
      <c r="F56" s="86">
        <f t="shared" ref="F56:P56" si="26">E56</f>
        <v>0</v>
      </c>
      <c r="G56" s="86">
        <f t="shared" si="26"/>
        <v>0</v>
      </c>
      <c r="H56" s="86">
        <f t="shared" si="26"/>
        <v>0</v>
      </c>
      <c r="I56" s="86">
        <f t="shared" si="26"/>
        <v>0</v>
      </c>
      <c r="J56" s="86">
        <f t="shared" si="26"/>
        <v>0</v>
      </c>
      <c r="K56" s="86">
        <f t="shared" si="26"/>
        <v>0</v>
      </c>
      <c r="L56" s="86">
        <f t="shared" si="26"/>
        <v>0</v>
      </c>
      <c r="M56" s="86">
        <f t="shared" si="26"/>
        <v>0</v>
      </c>
      <c r="N56" s="86">
        <f t="shared" si="26"/>
        <v>0</v>
      </c>
      <c r="O56" s="86">
        <f t="shared" si="26"/>
        <v>0</v>
      </c>
      <c r="P56" s="86">
        <f t="shared" si="26"/>
        <v>0</v>
      </c>
      <c r="Q56" s="45">
        <f t="shared" si="10"/>
        <v>0</v>
      </c>
    </row>
    <row r="57" spans="1:17" ht="12.75" hidden="1" customHeight="1" outlineLevel="1">
      <c r="A57" s="1"/>
      <c r="B57" s="1" t="str">
        <f>'3. Fixed Operating Expenses'!B28</f>
        <v>Telephone and Communications</v>
      </c>
      <c r="C57" s="1"/>
      <c r="D57" s="37"/>
      <c r="E57" s="45">
        <f>'3. Fixed Operating Expenses'!K28/12</f>
        <v>0</v>
      </c>
      <c r="F57" s="86">
        <f t="shared" ref="F57:P57" si="27">E57</f>
        <v>0</v>
      </c>
      <c r="G57" s="86">
        <f t="shared" si="27"/>
        <v>0</v>
      </c>
      <c r="H57" s="86">
        <f t="shared" si="27"/>
        <v>0</v>
      </c>
      <c r="I57" s="86">
        <f t="shared" si="27"/>
        <v>0</v>
      </c>
      <c r="J57" s="86">
        <f t="shared" si="27"/>
        <v>0</v>
      </c>
      <c r="K57" s="86">
        <f t="shared" si="27"/>
        <v>0</v>
      </c>
      <c r="L57" s="86">
        <f t="shared" si="27"/>
        <v>0</v>
      </c>
      <c r="M57" s="86">
        <f t="shared" si="27"/>
        <v>0</v>
      </c>
      <c r="N57" s="86">
        <f t="shared" si="27"/>
        <v>0</v>
      </c>
      <c r="O57" s="86">
        <f t="shared" si="27"/>
        <v>0</v>
      </c>
      <c r="P57" s="86">
        <f t="shared" si="27"/>
        <v>0</v>
      </c>
      <c r="Q57" s="45">
        <f t="shared" si="10"/>
        <v>0</v>
      </c>
    </row>
    <row r="58" spans="1:17" ht="12.75" hidden="1" customHeight="1" outlineLevel="1">
      <c r="A58" s="1"/>
      <c r="B58" s="1" t="str">
        <f>'3. Fixed Operating Expenses'!B29</f>
        <v>Travel</v>
      </c>
      <c r="C58" s="1"/>
      <c r="D58" s="37"/>
      <c r="E58" s="45">
        <f>'3. Fixed Operating Expenses'!K29/12</f>
        <v>0</v>
      </c>
      <c r="F58" s="86">
        <f t="shared" ref="F58:P58" si="28">E58</f>
        <v>0</v>
      </c>
      <c r="G58" s="86">
        <f t="shared" si="28"/>
        <v>0</v>
      </c>
      <c r="H58" s="86">
        <f t="shared" si="28"/>
        <v>0</v>
      </c>
      <c r="I58" s="86">
        <f t="shared" si="28"/>
        <v>0</v>
      </c>
      <c r="J58" s="86">
        <f t="shared" si="28"/>
        <v>0</v>
      </c>
      <c r="K58" s="86">
        <f t="shared" si="28"/>
        <v>0</v>
      </c>
      <c r="L58" s="86">
        <f t="shared" si="28"/>
        <v>0</v>
      </c>
      <c r="M58" s="86">
        <f t="shared" si="28"/>
        <v>0</v>
      </c>
      <c r="N58" s="86">
        <f t="shared" si="28"/>
        <v>0</v>
      </c>
      <c r="O58" s="86">
        <f t="shared" si="28"/>
        <v>0</v>
      </c>
      <c r="P58" s="86">
        <f t="shared" si="28"/>
        <v>0</v>
      </c>
      <c r="Q58" s="45">
        <f t="shared" si="10"/>
        <v>0</v>
      </c>
    </row>
    <row r="59" spans="1:17" ht="12.75" hidden="1" customHeight="1" outlineLevel="1" thickBot="1">
      <c r="A59" s="1"/>
      <c r="B59" s="1" t="str">
        <f>'3. Fixed Operating Expenses'!B30</f>
        <v>Utilities</v>
      </c>
      <c r="C59" s="1"/>
      <c r="D59" s="37"/>
      <c r="E59" s="49">
        <f>'3. Fixed Operating Expenses'!K30/12</f>
        <v>0</v>
      </c>
      <c r="F59" s="49">
        <f t="shared" ref="F59:P59" si="29">E59</f>
        <v>0</v>
      </c>
      <c r="G59" s="49">
        <f t="shared" si="29"/>
        <v>0</v>
      </c>
      <c r="H59" s="49">
        <f t="shared" si="29"/>
        <v>0</v>
      </c>
      <c r="I59" s="49">
        <f t="shared" si="29"/>
        <v>0</v>
      </c>
      <c r="J59" s="49">
        <f t="shared" si="29"/>
        <v>0</v>
      </c>
      <c r="K59" s="49">
        <f t="shared" si="29"/>
        <v>0</v>
      </c>
      <c r="L59" s="49">
        <f t="shared" si="29"/>
        <v>0</v>
      </c>
      <c r="M59" s="49">
        <f t="shared" si="29"/>
        <v>0</v>
      </c>
      <c r="N59" s="49">
        <f t="shared" si="29"/>
        <v>0</v>
      </c>
      <c r="O59" s="49">
        <f t="shared" si="29"/>
        <v>0</v>
      </c>
      <c r="P59" s="49">
        <f t="shared" si="29"/>
        <v>0</v>
      </c>
      <c r="Q59" s="49">
        <f t="shared" si="10"/>
        <v>0</v>
      </c>
    </row>
    <row r="60" spans="1:17" ht="12.75" customHeight="1" collapsed="1" thickBot="1">
      <c r="A60" s="1" t="s">
        <v>386</v>
      </c>
      <c r="B60" s="1"/>
      <c r="C60" s="1"/>
      <c r="D60" s="37"/>
      <c r="E60" s="57">
        <f t="shared" ref="E60:Q60" si="30">SUM(E40:E59)</f>
        <v>0</v>
      </c>
      <c r="F60" s="57">
        <f t="shared" si="30"/>
        <v>0</v>
      </c>
      <c r="G60" s="57">
        <f t="shared" si="30"/>
        <v>0</v>
      </c>
      <c r="H60" s="57">
        <f t="shared" si="30"/>
        <v>0</v>
      </c>
      <c r="I60" s="57">
        <f t="shared" si="30"/>
        <v>0</v>
      </c>
      <c r="J60" s="57">
        <f t="shared" si="30"/>
        <v>0</v>
      </c>
      <c r="K60" s="57">
        <f t="shared" si="30"/>
        <v>0</v>
      </c>
      <c r="L60" s="57">
        <f t="shared" si="30"/>
        <v>0</v>
      </c>
      <c r="M60" s="57">
        <f t="shared" si="30"/>
        <v>0</v>
      </c>
      <c r="N60" s="57">
        <f t="shared" si="30"/>
        <v>0</v>
      </c>
      <c r="O60" s="57">
        <f t="shared" si="30"/>
        <v>0</v>
      </c>
      <c r="P60" s="57">
        <f t="shared" si="30"/>
        <v>0</v>
      </c>
      <c r="Q60" s="57">
        <f t="shared" si="30"/>
        <v>0</v>
      </c>
    </row>
    <row r="61" spans="1:17" ht="12.75" customHeight="1" thickTop="1">
      <c r="A61" s="1" t="s">
        <v>385</v>
      </c>
      <c r="B61" s="1"/>
      <c r="C61" s="1"/>
      <c r="D61" s="37"/>
      <c r="E61" s="45">
        <f>+E60+E37</f>
        <v>0</v>
      </c>
      <c r="F61" s="45">
        <f t="shared" ref="F61:Q61" si="31">+F60+F37</f>
        <v>0</v>
      </c>
      <c r="G61" s="45">
        <f t="shared" si="31"/>
        <v>0</v>
      </c>
      <c r="H61" s="45">
        <f t="shared" si="31"/>
        <v>0</v>
      </c>
      <c r="I61" s="45">
        <f t="shared" si="31"/>
        <v>0</v>
      </c>
      <c r="J61" s="45">
        <f t="shared" si="31"/>
        <v>0</v>
      </c>
      <c r="K61" s="45">
        <f t="shared" si="31"/>
        <v>0</v>
      </c>
      <c r="L61" s="45">
        <f t="shared" si="31"/>
        <v>0</v>
      </c>
      <c r="M61" s="45">
        <f t="shared" si="31"/>
        <v>0</v>
      </c>
      <c r="N61" s="45">
        <f t="shared" si="31"/>
        <v>0</v>
      </c>
      <c r="O61" s="45">
        <f t="shared" si="31"/>
        <v>0</v>
      </c>
      <c r="P61" s="45">
        <f t="shared" si="31"/>
        <v>0</v>
      </c>
      <c r="Q61" s="45">
        <f t="shared" si="31"/>
        <v>0</v>
      </c>
    </row>
    <row r="62" spans="1:17" ht="12.75" customHeight="1">
      <c r="A62" s="1"/>
      <c r="B62" s="1"/>
      <c r="C62" s="1"/>
      <c r="D62" s="37"/>
      <c r="E62" s="45"/>
      <c r="F62" s="45"/>
      <c r="G62" s="45"/>
      <c r="H62" s="45"/>
      <c r="I62" s="45"/>
      <c r="J62" s="45"/>
      <c r="K62" s="45"/>
      <c r="L62" s="45"/>
      <c r="M62" s="45"/>
      <c r="N62" s="45"/>
      <c r="O62" s="45"/>
      <c r="P62" s="45"/>
      <c r="Q62" s="45"/>
    </row>
    <row r="63" spans="1:17" ht="12.75" customHeight="1" outlineLevel="1">
      <c r="A63" s="1" t="s">
        <v>325</v>
      </c>
      <c r="B63" s="1"/>
      <c r="C63" s="1"/>
      <c r="D63" s="37"/>
      <c r="E63" s="45"/>
      <c r="F63" s="45"/>
      <c r="G63" s="45"/>
      <c r="H63" s="45"/>
      <c r="I63" s="45"/>
      <c r="J63" s="45"/>
      <c r="K63" s="45"/>
      <c r="L63" s="45"/>
      <c r="M63" s="45"/>
      <c r="N63" s="45"/>
      <c r="O63" s="45"/>
      <c r="P63" s="45"/>
      <c r="Q63" s="45"/>
    </row>
    <row r="64" spans="1:17" ht="12.75" customHeight="1" outlineLevel="1">
      <c r="A64" s="1"/>
      <c r="B64" s="1" t="s">
        <v>89</v>
      </c>
      <c r="C64" s="1"/>
      <c r="D64" s="37"/>
      <c r="E64" s="45">
        <f>IF('6. Cash Receipts-Disbursements'!$G$28&gt;2,'6. Cash Receipts-Disbursements'!$K$28,0)</f>
        <v>0</v>
      </c>
      <c r="F64" s="45">
        <f>IF('6. Cash Receipts-Disbursements'!$G$28&gt;2,'6. Cash Receipts-Disbursements'!$K$28,0)</f>
        <v>0</v>
      </c>
      <c r="G64" s="45">
        <f>IF('6. Cash Receipts-Disbursements'!$G$28&gt;2,'6. Cash Receipts-Disbursements'!$K$28,0)</f>
        <v>0</v>
      </c>
      <c r="H64" s="45">
        <f>IF('6. Cash Receipts-Disbursements'!$G$28&gt;2,'6. Cash Receipts-Disbursements'!$K$28,0)</f>
        <v>0</v>
      </c>
      <c r="I64" s="45">
        <f>IF('6. Cash Receipts-Disbursements'!$G$28&gt;2,'6. Cash Receipts-Disbursements'!$K$28,0)</f>
        <v>0</v>
      </c>
      <c r="J64" s="45">
        <f>IF('6. Cash Receipts-Disbursements'!$G$28&gt;2,'6. Cash Receipts-Disbursements'!$K$28,0)</f>
        <v>0</v>
      </c>
      <c r="K64" s="45">
        <f>IF('6. Cash Receipts-Disbursements'!$G$28&gt;2,'6. Cash Receipts-Disbursements'!$K$28,0)</f>
        <v>0</v>
      </c>
      <c r="L64" s="45">
        <f>IF('6. Cash Receipts-Disbursements'!$G$28&gt;2,'6. Cash Receipts-Disbursements'!$K$28,0)</f>
        <v>0</v>
      </c>
      <c r="M64" s="45">
        <f>IF('6. Cash Receipts-Disbursements'!$G$28&gt;2,'6. Cash Receipts-Disbursements'!$K$28,0)</f>
        <v>0</v>
      </c>
      <c r="N64" s="45">
        <f>IF('6. Cash Receipts-Disbursements'!$G$28&gt;2,'6. Cash Receipts-Disbursements'!$K$28,0)</f>
        <v>0</v>
      </c>
      <c r="O64" s="45">
        <f>IF('6. Cash Receipts-Disbursements'!$G$28&gt;2,'6. Cash Receipts-Disbursements'!$K$28,0)</f>
        <v>0</v>
      </c>
      <c r="P64" s="45">
        <f>IF('6. Cash Receipts-Disbursements'!$G$28&gt;2,'6. Cash Receipts-Disbursements'!$K$28,0)</f>
        <v>0</v>
      </c>
      <c r="Q64" s="45">
        <f>SUM(E64:P64)</f>
        <v>0</v>
      </c>
    </row>
    <row r="65" spans="1:17" ht="12.75" customHeight="1" outlineLevel="1">
      <c r="A65" s="1"/>
      <c r="B65" s="1" t="s">
        <v>249</v>
      </c>
      <c r="C65" s="1"/>
      <c r="D65" s="37"/>
      <c r="E65" s="45">
        <f>+'12. Income Statement (2)'!P65+'15. Income Statement (3)'!E89</f>
        <v>0</v>
      </c>
      <c r="F65" s="45">
        <f t="shared" ref="F65:P65" si="32">E65</f>
        <v>0</v>
      </c>
      <c r="G65" s="45">
        <f t="shared" si="32"/>
        <v>0</v>
      </c>
      <c r="H65" s="45">
        <f t="shared" si="32"/>
        <v>0</v>
      </c>
      <c r="I65" s="45">
        <f t="shared" si="32"/>
        <v>0</v>
      </c>
      <c r="J65" s="45">
        <f t="shared" si="32"/>
        <v>0</v>
      </c>
      <c r="K65" s="45">
        <f t="shared" si="32"/>
        <v>0</v>
      </c>
      <c r="L65" s="45">
        <f t="shared" si="32"/>
        <v>0</v>
      </c>
      <c r="M65" s="45">
        <f t="shared" si="32"/>
        <v>0</v>
      </c>
      <c r="N65" s="45">
        <f t="shared" si="32"/>
        <v>0</v>
      </c>
      <c r="O65" s="45">
        <f t="shared" si="32"/>
        <v>0</v>
      </c>
      <c r="P65" s="45">
        <f t="shared" si="32"/>
        <v>0</v>
      </c>
      <c r="Q65" s="45">
        <f>SUM(E65:P65)</f>
        <v>0</v>
      </c>
    </row>
    <row r="66" spans="1:17" ht="12.75" customHeight="1" outlineLevel="1">
      <c r="A66" s="1"/>
      <c r="B66" s="1" t="s">
        <v>326</v>
      </c>
      <c r="C66" s="1"/>
      <c r="D66" s="37"/>
      <c r="E66" s="45"/>
      <c r="F66" s="45"/>
      <c r="G66" s="45"/>
      <c r="H66" s="45"/>
      <c r="I66" s="45"/>
      <c r="J66" s="45"/>
      <c r="K66" s="45"/>
      <c r="L66" s="45"/>
      <c r="M66" s="45"/>
      <c r="N66" s="45"/>
      <c r="O66" s="45"/>
      <c r="P66" s="45"/>
      <c r="Q66" s="45"/>
    </row>
    <row r="67" spans="1:17" ht="12.75" customHeight="1" outlineLevel="1">
      <c r="A67" s="1"/>
      <c r="B67" s="1"/>
      <c r="C67" s="1" t="s">
        <v>268</v>
      </c>
      <c r="D67" s="37"/>
      <c r="E67" s="45">
        <f>'20. Debt Amoritization Schedule'!G23</f>
        <v>0</v>
      </c>
      <c r="F67" s="45">
        <f>'20. Debt Amoritization Schedule'!H23</f>
        <v>0</v>
      </c>
      <c r="G67" s="45">
        <f>'20. Debt Amoritization Schedule'!I23</f>
        <v>0</v>
      </c>
      <c r="H67" s="45">
        <f>'20. Debt Amoritization Schedule'!J23</f>
        <v>0</v>
      </c>
      <c r="I67" s="45">
        <f>'20. Debt Amoritization Schedule'!K23</f>
        <v>0</v>
      </c>
      <c r="J67" s="45">
        <f>'20. Debt Amoritization Schedule'!L23</f>
        <v>0</v>
      </c>
      <c r="K67" s="45">
        <f>'20. Debt Amoritization Schedule'!M23</f>
        <v>0</v>
      </c>
      <c r="L67" s="45">
        <f>'20. Debt Amoritization Schedule'!N23</f>
        <v>0</v>
      </c>
      <c r="M67" s="45">
        <f>'20. Debt Amoritization Schedule'!O23</f>
        <v>0</v>
      </c>
      <c r="N67" s="45">
        <f>'20. Debt Amoritization Schedule'!P23</f>
        <v>0</v>
      </c>
      <c r="O67" s="45">
        <f>'20. Debt Amoritization Schedule'!Q23</f>
        <v>0</v>
      </c>
      <c r="P67" s="45">
        <f>'20. Debt Amoritization Schedule'!R23</f>
        <v>0</v>
      </c>
      <c r="Q67" s="45">
        <f t="shared" ref="Q67:Q73" si="33">SUM(E67:P67)</f>
        <v>0</v>
      </c>
    </row>
    <row r="68" spans="1:17" ht="12.75" customHeight="1" outlineLevel="1">
      <c r="A68" s="1"/>
      <c r="B68" s="1"/>
      <c r="C68" s="1" t="str">
        <f>+'1. Required Start-Up Funds'!C46</f>
        <v>Commercial Mortgage</v>
      </c>
      <c r="D68" s="37"/>
      <c r="E68" s="45">
        <f>'20. Debt Amoritization Schedule'!G43</f>
        <v>0</v>
      </c>
      <c r="F68" s="45">
        <f>'20. Debt Amoritization Schedule'!H43</f>
        <v>0</v>
      </c>
      <c r="G68" s="45">
        <f>'20. Debt Amoritization Schedule'!I43</f>
        <v>0</v>
      </c>
      <c r="H68" s="45">
        <f>'20. Debt Amoritization Schedule'!J43</f>
        <v>0</v>
      </c>
      <c r="I68" s="45">
        <f>'20. Debt Amoritization Schedule'!K43</f>
        <v>0</v>
      </c>
      <c r="J68" s="45">
        <f>'20. Debt Amoritization Schedule'!L43</f>
        <v>0</v>
      </c>
      <c r="K68" s="45">
        <f>'20. Debt Amoritization Schedule'!M43</f>
        <v>0</v>
      </c>
      <c r="L68" s="45">
        <f>'20. Debt Amoritization Schedule'!N43</f>
        <v>0</v>
      </c>
      <c r="M68" s="45">
        <f>'20. Debt Amoritization Schedule'!O43</f>
        <v>0</v>
      </c>
      <c r="N68" s="45">
        <f>'20. Debt Amoritization Schedule'!P43</f>
        <v>0</v>
      </c>
      <c r="O68" s="45">
        <f>'20. Debt Amoritization Schedule'!Q43</f>
        <v>0</v>
      </c>
      <c r="P68" s="45">
        <f>'20. Debt Amoritization Schedule'!R43</f>
        <v>0</v>
      </c>
      <c r="Q68" s="45">
        <f t="shared" si="33"/>
        <v>0</v>
      </c>
    </row>
    <row r="69" spans="1:17" ht="12.75" customHeight="1" outlineLevel="1">
      <c r="A69" s="1"/>
      <c r="B69" s="1"/>
      <c r="C69" s="1" t="s">
        <v>328</v>
      </c>
      <c r="D69" s="37"/>
      <c r="E69" s="45">
        <f>'16. Cash Flow Statement (3)'!E28</f>
        <v>0</v>
      </c>
      <c r="F69" s="45">
        <f>'16. Cash Flow Statement (3)'!F28</f>
        <v>0</v>
      </c>
      <c r="G69" s="45">
        <f>'16. Cash Flow Statement (3)'!G28</f>
        <v>0</v>
      </c>
      <c r="H69" s="45">
        <f>'16. Cash Flow Statement (3)'!H28</f>
        <v>0</v>
      </c>
      <c r="I69" s="45">
        <f>'16. Cash Flow Statement (3)'!I28</f>
        <v>0</v>
      </c>
      <c r="J69" s="45">
        <f>'16. Cash Flow Statement (3)'!J28</f>
        <v>0</v>
      </c>
      <c r="K69" s="45">
        <f>'16. Cash Flow Statement (3)'!K28</f>
        <v>0</v>
      </c>
      <c r="L69" s="45">
        <f>'16. Cash Flow Statement (3)'!L28</f>
        <v>0</v>
      </c>
      <c r="M69" s="45">
        <f>'16. Cash Flow Statement (3)'!M28</f>
        <v>0</v>
      </c>
      <c r="N69" s="45">
        <f>'16. Cash Flow Statement (3)'!N28</f>
        <v>0</v>
      </c>
      <c r="O69" s="45">
        <f>'16. Cash Flow Statement (3)'!O28</f>
        <v>0</v>
      </c>
      <c r="P69" s="45">
        <f>'16. Cash Flow Statement (3)'!P28</f>
        <v>0</v>
      </c>
      <c r="Q69" s="45">
        <f t="shared" si="33"/>
        <v>0</v>
      </c>
    </row>
    <row r="70" spans="1:17" ht="12.75" customHeight="1" outlineLevel="1">
      <c r="A70" s="1"/>
      <c r="B70" s="1"/>
      <c r="C70" s="1" t="str">
        <f>+'1. Required Start-Up Funds'!C47</f>
        <v>Credit Card Debt</v>
      </c>
      <c r="D70" s="23"/>
      <c r="E70" s="45">
        <f>'20. Debt Amoritization Schedule'!G63</f>
        <v>0</v>
      </c>
      <c r="F70" s="45">
        <f>'20. Debt Amoritization Schedule'!H63</f>
        <v>0</v>
      </c>
      <c r="G70" s="45">
        <f>'20. Debt Amoritization Schedule'!I63</f>
        <v>0</v>
      </c>
      <c r="H70" s="45">
        <f>'20. Debt Amoritization Schedule'!J63</f>
        <v>0</v>
      </c>
      <c r="I70" s="45">
        <f>'20. Debt Amoritization Schedule'!K63</f>
        <v>0</v>
      </c>
      <c r="J70" s="45">
        <f>'20. Debt Amoritization Schedule'!L63</f>
        <v>0</v>
      </c>
      <c r="K70" s="45">
        <f>'20. Debt Amoritization Schedule'!M63</f>
        <v>0</v>
      </c>
      <c r="L70" s="45">
        <f>'20. Debt Amoritization Schedule'!N63</f>
        <v>0</v>
      </c>
      <c r="M70" s="45">
        <f>'20. Debt Amoritization Schedule'!O63</f>
        <v>0</v>
      </c>
      <c r="N70" s="45">
        <f>'20. Debt Amoritization Schedule'!P63</f>
        <v>0</v>
      </c>
      <c r="O70" s="45">
        <f>'20. Debt Amoritization Schedule'!Q63</f>
        <v>0</v>
      </c>
      <c r="P70" s="45">
        <f>'20. Debt Amoritization Schedule'!R63</f>
        <v>0</v>
      </c>
      <c r="Q70" s="45">
        <f t="shared" si="33"/>
        <v>0</v>
      </c>
    </row>
    <row r="71" spans="1:17" ht="12.75" customHeight="1" outlineLevel="1">
      <c r="A71" s="1"/>
      <c r="B71" s="1"/>
      <c r="C71" s="1" t="str">
        <f>+'1. Required Start-Up Funds'!C48</f>
        <v>Vehicle Loans</v>
      </c>
      <c r="D71" s="23"/>
      <c r="E71" s="45">
        <f>'20. Debt Amoritization Schedule'!G83</f>
        <v>0</v>
      </c>
      <c r="F71" s="45">
        <f>'20. Debt Amoritization Schedule'!H83</f>
        <v>0</v>
      </c>
      <c r="G71" s="45">
        <f>'20. Debt Amoritization Schedule'!I83</f>
        <v>0</v>
      </c>
      <c r="H71" s="45">
        <f>'20. Debt Amoritization Schedule'!J83</f>
        <v>0</v>
      </c>
      <c r="I71" s="45">
        <f>'20. Debt Amoritization Schedule'!K83</f>
        <v>0</v>
      </c>
      <c r="J71" s="45">
        <f>'20. Debt Amoritization Schedule'!L83</f>
        <v>0</v>
      </c>
      <c r="K71" s="45">
        <f>'20. Debt Amoritization Schedule'!M83</f>
        <v>0</v>
      </c>
      <c r="L71" s="45">
        <f>'20. Debt Amoritization Schedule'!N83</f>
        <v>0</v>
      </c>
      <c r="M71" s="45">
        <f>'20. Debt Amoritization Schedule'!O83</f>
        <v>0</v>
      </c>
      <c r="N71" s="45">
        <f>'20. Debt Amoritization Schedule'!P83</f>
        <v>0</v>
      </c>
      <c r="O71" s="45">
        <f>'20. Debt Amoritization Schedule'!Q83</f>
        <v>0</v>
      </c>
      <c r="P71" s="45">
        <f>'20. Debt Amoritization Schedule'!R83</f>
        <v>0</v>
      </c>
      <c r="Q71" s="45">
        <f t="shared" si="33"/>
        <v>0</v>
      </c>
    </row>
    <row r="72" spans="1:17" ht="12.75" customHeight="1" outlineLevel="1">
      <c r="A72" s="1"/>
      <c r="B72" s="1"/>
      <c r="C72" s="1" t="str">
        <f>+'1. Required Start-Up Funds'!C44</f>
        <v>Other Debt</v>
      </c>
      <c r="D72" s="23"/>
      <c r="E72" s="45">
        <f>'20. Debt Amoritization Schedule'!G103</f>
        <v>0</v>
      </c>
      <c r="F72" s="45">
        <f>'20. Debt Amoritization Schedule'!H103</f>
        <v>0</v>
      </c>
      <c r="G72" s="45">
        <f>'20. Debt Amoritization Schedule'!I103</f>
        <v>0</v>
      </c>
      <c r="H72" s="45">
        <f>'20. Debt Amoritization Schedule'!J103</f>
        <v>0</v>
      </c>
      <c r="I72" s="45">
        <f>'20. Debt Amoritization Schedule'!K103</f>
        <v>0</v>
      </c>
      <c r="J72" s="45">
        <f>'20. Debt Amoritization Schedule'!L103</f>
        <v>0</v>
      </c>
      <c r="K72" s="45">
        <f>'20. Debt Amoritization Schedule'!M103</f>
        <v>0</v>
      </c>
      <c r="L72" s="45">
        <f>'20. Debt Amoritization Schedule'!N103</f>
        <v>0</v>
      </c>
      <c r="M72" s="45">
        <f>'20. Debt Amoritization Schedule'!O103</f>
        <v>0</v>
      </c>
      <c r="N72" s="45">
        <f>'20. Debt Amoritization Schedule'!P103</f>
        <v>0</v>
      </c>
      <c r="O72" s="45">
        <f>'20. Debt Amoritization Schedule'!Q103</f>
        <v>0</v>
      </c>
      <c r="P72" s="45">
        <f>'20. Debt Amoritization Schedule'!R103</f>
        <v>0</v>
      </c>
      <c r="Q72" s="45">
        <f t="shared" si="33"/>
        <v>0</v>
      </c>
    </row>
    <row r="73" spans="1:17" ht="12.75" customHeight="1" outlineLevel="1" thickBot="1">
      <c r="A73" s="1"/>
      <c r="B73" s="1" t="s">
        <v>188</v>
      </c>
      <c r="C73" s="1"/>
      <c r="D73" s="37"/>
      <c r="E73" s="49">
        <f>IF(E81&gt;0, E80*'6. Cash Receipts-Disbursements'!$G$25,0)</f>
        <v>0</v>
      </c>
      <c r="F73" s="49">
        <f>IF(F81&gt;0, F80*'6. Cash Receipts-Disbursements'!$G$25,0)</f>
        <v>0</v>
      </c>
      <c r="G73" s="49">
        <f>IF(G81&gt;0, G80*'6. Cash Receipts-Disbursements'!$G$25,0)</f>
        <v>0</v>
      </c>
      <c r="H73" s="49">
        <f>IF(H81&gt;0, H80*'6. Cash Receipts-Disbursements'!$G$25,0)</f>
        <v>0</v>
      </c>
      <c r="I73" s="49">
        <f>IF(I81&gt;0, I80*'6. Cash Receipts-Disbursements'!$G$25,0)</f>
        <v>0</v>
      </c>
      <c r="J73" s="49">
        <f>IF(J81&gt;0, J80*'6. Cash Receipts-Disbursements'!$G$25,0)</f>
        <v>0</v>
      </c>
      <c r="K73" s="49">
        <f>IF(K81&gt;0, K80*'6. Cash Receipts-Disbursements'!$G$25,0)</f>
        <v>0</v>
      </c>
      <c r="L73" s="49">
        <f>IF(L81&gt;0, L80*'6. Cash Receipts-Disbursements'!$G$25,0)</f>
        <v>0</v>
      </c>
      <c r="M73" s="49">
        <f>IF(M81&gt;0, M80*'6. Cash Receipts-Disbursements'!$G$25,0)</f>
        <v>0</v>
      </c>
      <c r="N73" s="49">
        <f>IF(N81&gt;0, N80*'6. Cash Receipts-Disbursements'!$G$25,0)</f>
        <v>0</v>
      </c>
      <c r="O73" s="49">
        <f>IF(O81&gt;0, O80*'6. Cash Receipts-Disbursements'!$G$25,0)</f>
        <v>0</v>
      </c>
      <c r="P73" s="49">
        <f>IF(P81&gt;0, P80*'6. Cash Receipts-Disbursements'!$G$25,0)</f>
        <v>0</v>
      </c>
      <c r="Q73" s="49">
        <f t="shared" si="33"/>
        <v>0</v>
      </c>
    </row>
    <row r="74" spans="1:17" ht="12.75" customHeight="1">
      <c r="A74" s="1" t="s">
        <v>327</v>
      </c>
      <c r="B74" s="1"/>
      <c r="C74" s="1"/>
      <c r="D74" s="37"/>
      <c r="E74" s="45">
        <f>SUM(E64:E73)</f>
        <v>0</v>
      </c>
      <c r="F74" s="45">
        <f t="shared" ref="F74:Q74" si="34">SUM(F64:F73)</f>
        <v>0</v>
      </c>
      <c r="G74" s="45">
        <f t="shared" si="34"/>
        <v>0</v>
      </c>
      <c r="H74" s="45">
        <f t="shared" si="34"/>
        <v>0</v>
      </c>
      <c r="I74" s="45">
        <f t="shared" si="34"/>
        <v>0</v>
      </c>
      <c r="J74" s="45">
        <f t="shared" si="34"/>
        <v>0</v>
      </c>
      <c r="K74" s="45">
        <f t="shared" si="34"/>
        <v>0</v>
      </c>
      <c r="L74" s="45">
        <f t="shared" si="34"/>
        <v>0</v>
      </c>
      <c r="M74" s="45">
        <f t="shared" si="34"/>
        <v>0</v>
      </c>
      <c r="N74" s="45">
        <f t="shared" si="34"/>
        <v>0</v>
      </c>
      <c r="O74" s="45">
        <f t="shared" si="34"/>
        <v>0</v>
      </c>
      <c r="P74" s="45">
        <f t="shared" si="34"/>
        <v>0</v>
      </c>
      <c r="Q74" s="45">
        <f t="shared" si="34"/>
        <v>0</v>
      </c>
    </row>
    <row r="75" spans="1:17" ht="12.75" customHeight="1" thickBot="1">
      <c r="A75" s="1"/>
      <c r="B75" s="1"/>
      <c r="C75" s="1"/>
      <c r="D75" s="37"/>
      <c r="E75" s="49"/>
      <c r="F75" s="49"/>
      <c r="G75" s="49"/>
      <c r="H75" s="49"/>
      <c r="I75" s="49"/>
      <c r="J75" s="49"/>
      <c r="K75" s="49"/>
      <c r="L75" s="49"/>
      <c r="M75" s="49"/>
      <c r="N75" s="49"/>
      <c r="O75" s="49"/>
      <c r="P75" s="49"/>
      <c r="Q75" s="49"/>
    </row>
    <row r="76" spans="1:17" ht="15.75" customHeight="1" thickBot="1">
      <c r="A76" s="1" t="s">
        <v>175</v>
      </c>
      <c r="B76" s="1"/>
      <c r="C76" s="1"/>
      <c r="D76" s="37"/>
      <c r="E76" s="90">
        <f t="shared" ref="E76:Q76" si="35">E28-E37-E60-E74</f>
        <v>0</v>
      </c>
      <c r="F76" s="90">
        <f t="shared" si="35"/>
        <v>0</v>
      </c>
      <c r="G76" s="90">
        <f t="shared" si="35"/>
        <v>0</v>
      </c>
      <c r="H76" s="90">
        <f t="shared" si="35"/>
        <v>0</v>
      </c>
      <c r="I76" s="90">
        <f t="shared" si="35"/>
        <v>0</v>
      </c>
      <c r="J76" s="90">
        <f t="shared" si="35"/>
        <v>0</v>
      </c>
      <c r="K76" s="90">
        <f t="shared" si="35"/>
        <v>0</v>
      </c>
      <c r="L76" s="90">
        <f t="shared" si="35"/>
        <v>0</v>
      </c>
      <c r="M76" s="90">
        <f t="shared" si="35"/>
        <v>0</v>
      </c>
      <c r="N76" s="90">
        <f t="shared" si="35"/>
        <v>0</v>
      </c>
      <c r="O76" s="90">
        <f t="shared" si="35"/>
        <v>0</v>
      </c>
      <c r="P76" s="90">
        <f t="shared" si="35"/>
        <v>0</v>
      </c>
      <c r="Q76" s="90">
        <f t="shared" si="35"/>
        <v>0</v>
      </c>
    </row>
    <row r="77" spans="1:17" ht="12.75" customHeight="1" thickTop="1">
      <c r="A77" s="1"/>
      <c r="B77" s="1"/>
      <c r="C77" s="1"/>
      <c r="D77" s="37"/>
      <c r="E77" s="37"/>
      <c r="F77" s="37"/>
      <c r="G77" s="37"/>
      <c r="H77" s="37"/>
      <c r="I77" s="37"/>
      <c r="J77" s="37"/>
      <c r="K77" s="37"/>
      <c r="L77" s="37"/>
      <c r="M77" s="37"/>
      <c r="N77" s="37"/>
      <c r="O77" s="37"/>
      <c r="P77" s="37"/>
      <c r="Q77" s="37"/>
    </row>
    <row r="78" spans="1:17" s="175" customFormat="1" ht="12.75" customHeight="1">
      <c r="A78" s="269" t="str">
        <f>IF(SUM(E78:P78)&gt;0,"Additional Funding Line of Credit Balance","")</f>
        <v/>
      </c>
      <c r="B78" s="269"/>
      <c r="C78" s="269"/>
      <c r="D78" s="45"/>
      <c r="E78" s="45" t="str">
        <f>IF('16. Cash Flow Statement (3)'!E42&gt;0,'16. Cash Flow Statement (3)'!E42,"")</f>
        <v/>
      </c>
      <c r="F78" s="45" t="str">
        <f>IF('16. Cash Flow Statement (3)'!F42&gt;0,'16. Cash Flow Statement (3)'!F42,"")</f>
        <v/>
      </c>
      <c r="G78" s="45" t="str">
        <f>IF('16. Cash Flow Statement (3)'!G42&gt;0,'16. Cash Flow Statement (3)'!G42,"")</f>
        <v/>
      </c>
      <c r="H78" s="45" t="str">
        <f>IF('16. Cash Flow Statement (3)'!H42&gt;0,'16. Cash Flow Statement (3)'!H42,"")</f>
        <v/>
      </c>
      <c r="I78" s="45" t="str">
        <f>IF('16. Cash Flow Statement (3)'!I42&gt;0,'16. Cash Flow Statement (3)'!I42,"")</f>
        <v/>
      </c>
      <c r="J78" s="45" t="str">
        <f>IF('16. Cash Flow Statement (3)'!J42&gt;0,'16. Cash Flow Statement (3)'!J42,"")</f>
        <v/>
      </c>
      <c r="K78" s="45" t="str">
        <f>IF('16. Cash Flow Statement (3)'!K42&gt;0,'16. Cash Flow Statement (3)'!K42,"")</f>
        <v/>
      </c>
      <c r="L78" s="45" t="str">
        <f>IF('16. Cash Flow Statement (3)'!L42&gt;0,'16. Cash Flow Statement (3)'!L42,"")</f>
        <v/>
      </c>
      <c r="M78" s="45" t="str">
        <f>IF('16. Cash Flow Statement (3)'!M42&gt;0,'16. Cash Flow Statement (3)'!M42,"")</f>
        <v/>
      </c>
      <c r="N78" s="45" t="str">
        <f>IF('16. Cash Flow Statement (3)'!N42&gt;0,'16. Cash Flow Statement (3)'!N42,"")</f>
        <v/>
      </c>
      <c r="O78" s="45" t="str">
        <f>IF('16. Cash Flow Statement (3)'!O42&gt;0,'16. Cash Flow Statement (3)'!O42,"")</f>
        <v/>
      </c>
      <c r="P78" s="45" t="str">
        <f>IF('16. Cash Flow Statement (3)'!P42&gt;0,'16. Cash Flow Statement (3)'!P42,"")</f>
        <v/>
      </c>
      <c r="Q78" s="45"/>
    </row>
    <row r="79" spans="1:17" ht="12.75" customHeight="1">
      <c r="A79" s="1"/>
      <c r="B79" s="1"/>
      <c r="C79" s="1"/>
      <c r="D79" s="37"/>
      <c r="E79" s="37"/>
      <c r="F79" s="37"/>
      <c r="G79" s="37"/>
      <c r="H79" s="37"/>
      <c r="I79" s="37"/>
      <c r="J79" s="37"/>
      <c r="K79" s="37"/>
      <c r="L79" s="37"/>
      <c r="M79" s="37"/>
      <c r="N79" s="37"/>
      <c r="O79" s="37"/>
      <c r="P79" s="37"/>
      <c r="Q79" s="37"/>
    </row>
    <row r="80" spans="1:17" s="356" customFormat="1" ht="12.75" customHeight="1">
      <c r="A80" s="334" t="s">
        <v>401</v>
      </c>
      <c r="B80" s="334"/>
      <c r="C80" s="334"/>
      <c r="E80" s="355">
        <f>E28-E37-E60-E64-E65-E67-E68-E69-E70-E71-E72</f>
        <v>0</v>
      </c>
      <c r="F80" s="355">
        <f t="shared" ref="F80:P80" si="36">F28-F37-F60-F64-F65-F67-F68-F69-F70-F71-F72</f>
        <v>0</v>
      </c>
      <c r="G80" s="355">
        <f t="shared" si="36"/>
        <v>0</v>
      </c>
      <c r="H80" s="355">
        <f t="shared" si="36"/>
        <v>0</v>
      </c>
      <c r="I80" s="355">
        <f t="shared" si="36"/>
        <v>0</v>
      </c>
      <c r="J80" s="355">
        <f t="shared" si="36"/>
        <v>0</v>
      </c>
      <c r="K80" s="355">
        <f t="shared" si="36"/>
        <v>0</v>
      </c>
      <c r="L80" s="355">
        <f t="shared" si="36"/>
        <v>0</v>
      </c>
      <c r="M80" s="355">
        <f t="shared" si="36"/>
        <v>0</v>
      </c>
      <c r="N80" s="355">
        <f t="shared" si="36"/>
        <v>0</v>
      </c>
      <c r="O80" s="355">
        <f t="shared" si="36"/>
        <v>0</v>
      </c>
      <c r="P80" s="355">
        <f t="shared" si="36"/>
        <v>0</v>
      </c>
    </row>
    <row r="81" spans="1:17" s="356" customFormat="1" ht="12.75" customHeight="1">
      <c r="A81" s="334" t="s">
        <v>402</v>
      </c>
      <c r="B81" s="334"/>
      <c r="C81" s="334"/>
      <c r="E81" s="355">
        <f>E80+'12. Income Statement (2)'!P81</f>
        <v>0</v>
      </c>
      <c r="F81" s="355">
        <f t="shared" ref="F81:P81" si="37">E81+F80</f>
        <v>0</v>
      </c>
      <c r="G81" s="355">
        <f t="shared" si="37"/>
        <v>0</v>
      </c>
      <c r="H81" s="355">
        <f t="shared" si="37"/>
        <v>0</v>
      </c>
      <c r="I81" s="355">
        <f t="shared" si="37"/>
        <v>0</v>
      </c>
      <c r="J81" s="355">
        <f t="shared" si="37"/>
        <v>0</v>
      </c>
      <c r="K81" s="355">
        <f t="shared" si="37"/>
        <v>0</v>
      </c>
      <c r="L81" s="355">
        <f t="shared" si="37"/>
        <v>0</v>
      </c>
      <c r="M81" s="355">
        <f t="shared" si="37"/>
        <v>0</v>
      </c>
      <c r="N81" s="355">
        <f t="shared" si="37"/>
        <v>0</v>
      </c>
      <c r="O81" s="355">
        <f t="shared" si="37"/>
        <v>0</v>
      </c>
      <c r="P81" s="355">
        <f t="shared" si="37"/>
        <v>0</v>
      </c>
    </row>
    <row r="82" spans="1:17" ht="12.75" customHeight="1">
      <c r="P82" s="21"/>
      <c r="Q82" s="21"/>
    </row>
    <row r="83" spans="1:17" ht="12.75" customHeight="1"/>
    <row r="84" spans="1:17" ht="12.75" customHeight="1"/>
    <row r="85" spans="1:17" ht="12.75" customHeight="1"/>
    <row r="86" spans="1:17" ht="12.75" customHeight="1"/>
    <row r="87" spans="1:17" ht="12.75" customHeight="1"/>
    <row r="88" spans="1:17" ht="12.75" customHeight="1">
      <c r="A88" s="6" t="s">
        <v>74</v>
      </c>
    </row>
    <row r="89" spans="1:17" ht="12.75" customHeight="1">
      <c r="B89" s="6" t="s">
        <v>249</v>
      </c>
      <c r="E89" s="175">
        <f>IF('1. Required Start-Up Funds'!H9&gt;0,'1. Required Start-Up Funds'!H9/'1. Required Start-Up Funds'!J9/12)+IF('1. Required Start-Up Funds'!H10&gt;0,'1. Required Start-Up Funds'!H10/'1. Required Start-Up Funds'!J10/12)+IF('1. Required Start-Up Funds'!H11&gt;0,'1. Required Start-Up Funds'!H11/'1. Required Start-Up Funds'!J11/12)+IF('1. Required Start-Up Funds'!H12&gt;0,'1. Required Start-Up Funds'!H12/'1. Required Start-Up Funds'!J12/12)*IF('1. Required Start-Up Funds'!H13&gt;0,'1. Required Start-Up Funds'!H13/'1. Required Start-Up Funds'!J13/12)+IF('1. Required Start-Up Funds'!H14&gt;0,'1. Required Start-Up Funds'!H14/'1. Required Start-Up Funds'!J14/12)</f>
        <v>0</v>
      </c>
    </row>
    <row r="90" spans="1:17" ht="12.75" customHeight="1"/>
    <row r="91" spans="1:17" ht="12.75" customHeight="1"/>
    <row r="92" spans="1:17" ht="12.75" customHeight="1"/>
    <row r="93" spans="1:17" ht="12.75" customHeight="1"/>
    <row r="94" spans="1:17" ht="12.75" customHeight="1"/>
    <row r="95" spans="1:17" ht="12.75" customHeight="1"/>
    <row r="96" spans="1:17" ht="12.75" customHeight="1"/>
    <row r="97" ht="12.75" customHeight="1"/>
    <row r="98" ht="12.75" customHeight="1"/>
    <row r="99" ht="12.75" customHeight="1"/>
  </sheetData>
  <phoneticPr fontId="4" type="noConversion"/>
  <pageMargins left="0.75" right="0.75" top="1" bottom="0.75" header="0.5" footer="0.5"/>
  <pageSetup scale="75" orientation="landscape" horizontalDpi="300"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39997558519241921"/>
  </sheetPr>
  <dimension ref="A1:Q90"/>
  <sheetViews>
    <sheetView showGridLines="0" zoomScale="90" zoomScaleNormal="90" workbookViewId="0">
      <pane ySplit="6" topLeftCell="A7" activePane="bottomLeft" state="frozen"/>
      <selection pane="bottomLeft" activeCell="E19" sqref="E19"/>
    </sheetView>
  </sheetViews>
  <sheetFormatPr defaultColWidth="8.85546875" defaultRowHeight="12"/>
  <cols>
    <col min="1" max="3" width="3" style="6" customWidth="1"/>
    <col min="4" max="4" width="35.85546875" customWidth="1"/>
    <col min="5" max="16" width="10.85546875" customWidth="1"/>
    <col min="17" max="17" width="15.85546875" customWidth="1"/>
  </cols>
  <sheetData>
    <row r="1" spans="1:17" ht="15.75">
      <c r="A1" s="5" t="str">
        <f>'1. Required Start-Up Funds'!A1</f>
        <v xml:space="preserve"> </v>
      </c>
    </row>
    <row r="2" spans="1:17" ht="15.75">
      <c r="A2" s="5" t="s">
        <v>36</v>
      </c>
    </row>
    <row r="3" spans="1:17" ht="12.75" customHeight="1">
      <c r="A3" s="1"/>
      <c r="B3" s="1"/>
      <c r="C3" s="1"/>
      <c r="D3" s="37"/>
      <c r="E3" s="37"/>
      <c r="F3" s="37"/>
      <c r="G3" s="37"/>
      <c r="H3" s="37"/>
      <c r="I3" s="37"/>
      <c r="J3" s="37"/>
      <c r="K3" s="37"/>
      <c r="L3" s="37"/>
      <c r="M3" s="37"/>
      <c r="N3" s="37"/>
      <c r="O3" s="37"/>
      <c r="P3" s="37"/>
      <c r="Q3" s="37"/>
    </row>
    <row r="4" spans="1:17" ht="12.75" customHeight="1">
      <c r="A4" s="1"/>
      <c r="B4" s="1"/>
      <c r="C4" s="1"/>
      <c r="D4" s="37"/>
      <c r="E4" s="37"/>
      <c r="F4" s="37"/>
      <c r="G4" s="37"/>
      <c r="H4" s="37"/>
      <c r="I4" s="37"/>
      <c r="J4" s="37"/>
      <c r="K4" s="37"/>
      <c r="L4" s="37"/>
      <c r="M4" s="37"/>
      <c r="N4" s="37"/>
      <c r="O4" s="37"/>
      <c r="P4" s="37"/>
      <c r="Q4" s="37"/>
    </row>
    <row r="5" spans="1:17" ht="12.75" customHeight="1">
      <c r="A5" s="1"/>
      <c r="B5" s="1"/>
      <c r="C5" s="1"/>
      <c r="D5" s="37"/>
      <c r="E5" s="37"/>
      <c r="F5" s="37"/>
      <c r="G5" s="37"/>
      <c r="H5" s="37"/>
      <c r="I5" s="37"/>
      <c r="J5" s="37"/>
      <c r="K5" s="37"/>
      <c r="L5" s="37"/>
      <c r="M5" s="37"/>
      <c r="N5" s="37"/>
      <c r="O5" s="37"/>
      <c r="P5" s="37"/>
      <c r="Q5" s="37"/>
    </row>
    <row r="6" spans="1:17" ht="12.75" customHeight="1" thickBot="1">
      <c r="A6" s="1"/>
      <c r="B6" s="1"/>
      <c r="C6" s="1"/>
      <c r="D6" s="37"/>
      <c r="E6" s="40">
        <f>'4a.Prod 1-6 Unit Sales Forecast'!H6</f>
        <v>1</v>
      </c>
      <c r="F6" s="40">
        <f>'4a.Prod 1-6 Unit Sales Forecast'!I6</f>
        <v>2</v>
      </c>
      <c r="G6" s="40">
        <f>'4a.Prod 1-6 Unit Sales Forecast'!J6</f>
        <v>3</v>
      </c>
      <c r="H6" s="40">
        <f>'4a.Prod 1-6 Unit Sales Forecast'!K6</f>
        <v>4</v>
      </c>
      <c r="I6" s="40">
        <f>'4a.Prod 1-6 Unit Sales Forecast'!L6</f>
        <v>5</v>
      </c>
      <c r="J6" s="40">
        <f>'4a.Prod 1-6 Unit Sales Forecast'!M6</f>
        <v>6</v>
      </c>
      <c r="K6" s="40">
        <f>'4a.Prod 1-6 Unit Sales Forecast'!N6</f>
        <v>7</v>
      </c>
      <c r="L6" s="40">
        <f>'4a.Prod 1-6 Unit Sales Forecast'!O6</f>
        <v>8</v>
      </c>
      <c r="M6" s="40">
        <f>'4a.Prod 1-6 Unit Sales Forecast'!P6</f>
        <v>9</v>
      </c>
      <c r="N6" s="40">
        <f>'4a.Prod 1-6 Unit Sales Forecast'!Q6</f>
        <v>10</v>
      </c>
      <c r="O6" s="40">
        <f>'4a.Prod 1-6 Unit Sales Forecast'!R6</f>
        <v>11</v>
      </c>
      <c r="P6" s="40">
        <f>'4a.Prod 1-6 Unit Sales Forecast'!S6</f>
        <v>12</v>
      </c>
      <c r="Q6" s="40" t="s">
        <v>248</v>
      </c>
    </row>
    <row r="7" spans="1:17" ht="12.75" customHeight="1" thickTop="1">
      <c r="A7" s="85"/>
      <c r="B7" s="85"/>
      <c r="C7" s="85"/>
      <c r="D7" s="82"/>
      <c r="E7" s="82"/>
      <c r="F7" s="82"/>
      <c r="G7" s="82"/>
      <c r="H7" s="82"/>
      <c r="I7" s="82"/>
      <c r="J7" s="82"/>
      <c r="K7" s="82"/>
      <c r="L7" s="82"/>
      <c r="M7" s="82"/>
      <c r="N7" s="82"/>
      <c r="O7" s="82"/>
      <c r="P7" s="82"/>
      <c r="Q7" s="82"/>
    </row>
    <row r="8" spans="1:17" ht="12.75" customHeight="1">
      <c r="A8" s="85" t="s">
        <v>176</v>
      </c>
      <c r="B8" s="85"/>
      <c r="C8" s="85"/>
      <c r="D8" s="82"/>
      <c r="E8" s="86">
        <f>'13. Cash Flow Statement (2)'!P39</f>
        <v>0</v>
      </c>
      <c r="F8" s="86">
        <f t="shared" ref="F8:P8" si="0">E39</f>
        <v>0</v>
      </c>
      <c r="G8" s="86">
        <f t="shared" si="0"/>
        <v>0</v>
      </c>
      <c r="H8" s="86">
        <f t="shared" si="0"/>
        <v>0</v>
      </c>
      <c r="I8" s="86">
        <f t="shared" si="0"/>
        <v>0</v>
      </c>
      <c r="J8" s="86">
        <f t="shared" si="0"/>
        <v>0</v>
      </c>
      <c r="K8" s="86">
        <f t="shared" si="0"/>
        <v>0</v>
      </c>
      <c r="L8" s="86">
        <f t="shared" si="0"/>
        <v>0</v>
      </c>
      <c r="M8" s="86">
        <f t="shared" si="0"/>
        <v>0</v>
      </c>
      <c r="N8" s="86">
        <f t="shared" si="0"/>
        <v>0</v>
      </c>
      <c r="O8" s="86">
        <f t="shared" si="0"/>
        <v>0</v>
      </c>
      <c r="P8" s="86">
        <f t="shared" si="0"/>
        <v>0</v>
      </c>
      <c r="Q8" s="86"/>
    </row>
    <row r="9" spans="1:17" ht="12.75" customHeight="1">
      <c r="A9" s="85"/>
      <c r="B9" s="85"/>
      <c r="C9" s="85"/>
      <c r="D9" s="82"/>
      <c r="E9" s="86"/>
      <c r="F9" s="86"/>
      <c r="G9" s="86"/>
      <c r="H9" s="86"/>
      <c r="I9" s="86"/>
      <c r="J9" s="86"/>
      <c r="K9" s="86"/>
      <c r="L9" s="86"/>
      <c r="M9" s="86"/>
      <c r="N9" s="86"/>
      <c r="O9" s="86"/>
      <c r="P9" s="86"/>
      <c r="Q9" s="86"/>
    </row>
    <row r="10" spans="1:17" ht="12.75" customHeight="1">
      <c r="A10" s="85" t="s">
        <v>177</v>
      </c>
      <c r="B10" s="85"/>
      <c r="C10" s="85"/>
      <c r="D10" s="82"/>
      <c r="E10" s="86"/>
      <c r="F10" s="86"/>
      <c r="G10" s="86"/>
      <c r="H10" s="86"/>
      <c r="I10" s="86"/>
      <c r="J10" s="86"/>
      <c r="K10" s="86"/>
      <c r="L10" s="86"/>
      <c r="M10" s="86"/>
      <c r="N10" s="86"/>
      <c r="O10" s="86"/>
      <c r="P10" s="86"/>
      <c r="Q10" s="86"/>
    </row>
    <row r="11" spans="1:17" ht="12.75" customHeight="1">
      <c r="A11" s="85"/>
      <c r="B11" s="85" t="s">
        <v>178</v>
      </c>
      <c r="C11" s="85"/>
      <c r="D11" s="82"/>
      <c r="E11" s="86">
        <f>'15. Income Statement (3)'!E16*'6. Cash Receipts-Disbursements'!$G$8</f>
        <v>0</v>
      </c>
      <c r="F11" s="86">
        <f>'15. Income Statement (3)'!F16*'6. Cash Receipts-Disbursements'!$G$8</f>
        <v>0</v>
      </c>
      <c r="G11" s="86">
        <f>'15. Income Statement (3)'!G16*'6. Cash Receipts-Disbursements'!$G$8</f>
        <v>0</v>
      </c>
      <c r="H11" s="86">
        <f>'15. Income Statement (3)'!H16*'6. Cash Receipts-Disbursements'!$G$8</f>
        <v>0</v>
      </c>
      <c r="I11" s="86">
        <f>'15. Income Statement (3)'!I16*'6. Cash Receipts-Disbursements'!$G$8</f>
        <v>0</v>
      </c>
      <c r="J11" s="86">
        <f>'15. Income Statement (3)'!J16*'6. Cash Receipts-Disbursements'!$G$8</f>
        <v>0</v>
      </c>
      <c r="K11" s="86">
        <f>'15. Income Statement (3)'!K16*'6. Cash Receipts-Disbursements'!$G$8</f>
        <v>0</v>
      </c>
      <c r="L11" s="86">
        <f>'15. Income Statement (3)'!L16*'6. Cash Receipts-Disbursements'!$G$8</f>
        <v>0</v>
      </c>
      <c r="M11" s="86">
        <f>'15. Income Statement (3)'!M16*'6. Cash Receipts-Disbursements'!$G$8</f>
        <v>0</v>
      </c>
      <c r="N11" s="86">
        <f>'15. Income Statement (3)'!N16*'6. Cash Receipts-Disbursements'!$G$8</f>
        <v>0</v>
      </c>
      <c r="O11" s="86">
        <f>'15. Income Statement (3)'!O16*'6. Cash Receipts-Disbursements'!$G$8</f>
        <v>0</v>
      </c>
      <c r="P11" s="86">
        <f>'15. Income Statement (3)'!P16*'6. Cash Receipts-Disbursements'!$G$8</f>
        <v>0</v>
      </c>
      <c r="Q11" s="86">
        <f>SUM(E11:P11)</f>
        <v>0</v>
      </c>
    </row>
    <row r="12" spans="1:17" ht="12.75" customHeight="1">
      <c r="A12" s="85"/>
      <c r="B12" s="85" t="s">
        <v>179</v>
      </c>
      <c r="C12" s="85"/>
      <c r="D12" s="82"/>
      <c r="E12" s="86">
        <f>('12. Income Statement (2)'!O16*'6. Cash Receipts-Disbursements'!G10)+('12. Income Statement (2)'!P16*'6. Cash Receipts-Disbursements'!G9)</f>
        <v>0</v>
      </c>
      <c r="F12" s="86">
        <f>('12. Income Statement (2)'!P16*'6. Cash Receipts-Disbursements'!G10)+('15. Income Statement (3)'!E16*'6. Cash Receipts-Disbursements'!G9)</f>
        <v>0</v>
      </c>
      <c r="G12" s="86">
        <f>('15. Income Statement (3)'!E16*'6. Cash Receipts-Disbursements'!$G$10)+('15. Income Statement (3)'!F16*'6. Cash Receipts-Disbursements'!$G$9)</f>
        <v>0</v>
      </c>
      <c r="H12" s="86">
        <f>('15. Income Statement (3)'!F16*'6. Cash Receipts-Disbursements'!$G$10)+('15. Income Statement (3)'!G16*'6. Cash Receipts-Disbursements'!$G$9)</f>
        <v>0</v>
      </c>
      <c r="I12" s="86">
        <f>('15. Income Statement (3)'!G16*'6. Cash Receipts-Disbursements'!$G$10)+('15. Income Statement (3)'!H16*'6. Cash Receipts-Disbursements'!$G$9)</f>
        <v>0</v>
      </c>
      <c r="J12" s="86">
        <f>('15. Income Statement (3)'!H16*'6. Cash Receipts-Disbursements'!$G$10)+('15. Income Statement (3)'!I16*'6. Cash Receipts-Disbursements'!$G$9)</f>
        <v>0</v>
      </c>
      <c r="K12" s="86">
        <f>('15. Income Statement (3)'!I16*'6. Cash Receipts-Disbursements'!$G$10)+('15. Income Statement (3)'!J16*'6. Cash Receipts-Disbursements'!$G$9)</f>
        <v>0</v>
      </c>
      <c r="L12" s="86">
        <f>('15. Income Statement (3)'!J16*'6. Cash Receipts-Disbursements'!$G$10)+('15. Income Statement (3)'!K16*'6. Cash Receipts-Disbursements'!$G$9)</f>
        <v>0</v>
      </c>
      <c r="M12" s="86">
        <f>('15. Income Statement (3)'!K16*'6. Cash Receipts-Disbursements'!$G$10)+('15. Income Statement (3)'!L16*'6. Cash Receipts-Disbursements'!$G$9)</f>
        <v>0</v>
      </c>
      <c r="N12" s="86">
        <f>('15. Income Statement (3)'!L16*'6. Cash Receipts-Disbursements'!$G$10)+('15. Income Statement (3)'!M16*'6. Cash Receipts-Disbursements'!$G$9)</f>
        <v>0</v>
      </c>
      <c r="O12" s="86">
        <f>('15. Income Statement (3)'!M16*'6. Cash Receipts-Disbursements'!$G$10)+('15. Income Statement (3)'!N16*'6. Cash Receipts-Disbursements'!$G$9)</f>
        <v>0</v>
      </c>
      <c r="P12" s="86">
        <f>('15. Income Statement (3)'!N16*'6. Cash Receipts-Disbursements'!$G$10)+('15. Income Statement (3)'!O16*'6. Cash Receipts-Disbursements'!$G$9)</f>
        <v>0</v>
      </c>
      <c r="Q12" s="86">
        <f>SUM(E12:P12)</f>
        <v>0</v>
      </c>
    </row>
    <row r="13" spans="1:17" ht="12.75" customHeight="1" thickBot="1">
      <c r="A13" s="85"/>
      <c r="B13" s="85" t="s">
        <v>73</v>
      </c>
      <c r="C13" s="85"/>
      <c r="D13" s="82"/>
      <c r="E13" s="400">
        <v>0</v>
      </c>
      <c r="F13" s="400">
        <v>0</v>
      </c>
      <c r="G13" s="400">
        <v>0</v>
      </c>
      <c r="H13" s="400">
        <v>0</v>
      </c>
      <c r="I13" s="400">
        <v>0</v>
      </c>
      <c r="J13" s="400">
        <v>0</v>
      </c>
      <c r="K13" s="400">
        <v>0</v>
      </c>
      <c r="L13" s="400">
        <v>0</v>
      </c>
      <c r="M13" s="400">
        <v>0</v>
      </c>
      <c r="N13" s="400">
        <v>0</v>
      </c>
      <c r="O13" s="400">
        <v>0</v>
      </c>
      <c r="P13" s="400">
        <v>0</v>
      </c>
      <c r="Q13" s="86">
        <f>SUM(E13:P13)</f>
        <v>0</v>
      </c>
    </row>
    <row r="14" spans="1:17" ht="12.75" customHeight="1">
      <c r="A14" s="85"/>
      <c r="B14" s="85"/>
      <c r="C14" s="85"/>
      <c r="D14" s="82"/>
      <c r="E14" s="86"/>
      <c r="F14" s="86"/>
      <c r="G14" s="86"/>
      <c r="H14" s="86"/>
      <c r="I14" s="86"/>
      <c r="J14" s="86"/>
      <c r="K14" s="86"/>
      <c r="L14" s="86"/>
      <c r="M14" s="86"/>
      <c r="N14" s="86"/>
      <c r="O14" s="86"/>
      <c r="P14" s="86"/>
      <c r="Q14" s="86"/>
    </row>
    <row r="15" spans="1:17" ht="12.75" customHeight="1">
      <c r="A15" s="85" t="s">
        <v>180</v>
      </c>
      <c r="B15" s="85"/>
      <c r="C15" s="85"/>
      <c r="D15" s="82"/>
      <c r="E15" s="86">
        <f>SUM(E11:E13)</f>
        <v>0</v>
      </c>
      <c r="F15" s="86">
        <f t="shared" ref="F15:P15" si="1">SUM(F11:F13)</f>
        <v>0</v>
      </c>
      <c r="G15" s="86">
        <f t="shared" si="1"/>
        <v>0</v>
      </c>
      <c r="H15" s="86">
        <f t="shared" si="1"/>
        <v>0</v>
      </c>
      <c r="I15" s="86">
        <f t="shared" si="1"/>
        <v>0</v>
      </c>
      <c r="J15" s="86">
        <f t="shared" si="1"/>
        <v>0</v>
      </c>
      <c r="K15" s="86">
        <f t="shared" si="1"/>
        <v>0</v>
      </c>
      <c r="L15" s="86">
        <f t="shared" si="1"/>
        <v>0</v>
      </c>
      <c r="M15" s="86">
        <f t="shared" si="1"/>
        <v>0</v>
      </c>
      <c r="N15" s="86">
        <f t="shared" si="1"/>
        <v>0</v>
      </c>
      <c r="O15" s="86">
        <f t="shared" si="1"/>
        <v>0</v>
      </c>
      <c r="P15" s="86">
        <f t="shared" si="1"/>
        <v>0</v>
      </c>
      <c r="Q15" s="86">
        <f>SUM(Q11:Q13)-Q13</f>
        <v>0</v>
      </c>
    </row>
    <row r="16" spans="1:17" ht="12.75" customHeight="1">
      <c r="A16" s="85"/>
      <c r="B16" s="85"/>
      <c r="C16" s="85"/>
      <c r="D16" s="82"/>
      <c r="E16" s="86"/>
      <c r="F16" s="86"/>
      <c r="G16" s="86"/>
      <c r="H16" s="86"/>
      <c r="I16" s="86"/>
      <c r="J16" s="86"/>
      <c r="K16" s="86"/>
      <c r="L16" s="86"/>
      <c r="M16" s="86"/>
      <c r="N16" s="86"/>
      <c r="O16" s="86"/>
      <c r="P16" s="86"/>
      <c r="Q16" s="86"/>
    </row>
    <row r="17" spans="1:17" ht="12.75" customHeight="1">
      <c r="A17" s="85" t="s">
        <v>181</v>
      </c>
      <c r="B17" s="85"/>
      <c r="C17" s="85"/>
      <c r="D17" s="82"/>
      <c r="E17" s="86"/>
      <c r="F17" s="86"/>
      <c r="G17" s="86"/>
      <c r="H17" s="86"/>
      <c r="I17" s="86"/>
      <c r="J17" s="86"/>
      <c r="K17" s="86"/>
      <c r="L17" s="86"/>
      <c r="M17" s="86"/>
      <c r="N17" s="86"/>
      <c r="O17" s="86"/>
      <c r="P17" s="86"/>
      <c r="Q17" s="86"/>
    </row>
    <row r="18" spans="1:17" ht="12.75" customHeight="1">
      <c r="A18" s="85"/>
      <c r="B18" s="1" t="s">
        <v>198</v>
      </c>
      <c r="C18" s="1"/>
      <c r="D18" s="82"/>
      <c r="E18" s="86"/>
      <c r="F18" s="86"/>
      <c r="G18" s="86"/>
      <c r="H18" s="86"/>
      <c r="I18" s="86"/>
      <c r="J18" s="86"/>
      <c r="K18" s="86"/>
      <c r="L18" s="86"/>
      <c r="M18" s="86"/>
      <c r="N18" s="86"/>
      <c r="O18" s="86"/>
      <c r="P18" s="86"/>
      <c r="Q18" s="86"/>
    </row>
    <row r="19" spans="1:17" ht="12.75" customHeight="1">
      <c r="A19" s="85"/>
      <c r="B19" s="1"/>
      <c r="C19" s="85" t="s">
        <v>107</v>
      </c>
      <c r="D19" s="82"/>
      <c r="E19" s="401">
        <f>SUM('1. Required Start-Up Funds'!H8:H14)</f>
        <v>0</v>
      </c>
      <c r="F19" s="401">
        <v>0</v>
      </c>
      <c r="G19" s="401"/>
      <c r="H19" s="401"/>
      <c r="I19" s="401">
        <v>0</v>
      </c>
      <c r="J19" s="401">
        <v>0</v>
      </c>
      <c r="K19" s="401">
        <v>0</v>
      </c>
      <c r="L19" s="401">
        <v>0</v>
      </c>
      <c r="M19" s="401">
        <v>0</v>
      </c>
      <c r="N19" s="401">
        <v>0</v>
      </c>
      <c r="O19" s="401">
        <v>0</v>
      </c>
      <c r="P19" s="401">
        <v>0</v>
      </c>
      <c r="Q19" s="86">
        <f>SUM(E19:P19)</f>
        <v>0</v>
      </c>
    </row>
    <row r="20" spans="1:17" ht="12.75" customHeight="1">
      <c r="A20" s="85"/>
      <c r="B20" s="1"/>
      <c r="C20" s="85" t="s">
        <v>108</v>
      </c>
      <c r="D20" s="82"/>
      <c r="E20" s="401">
        <f>+'1. Required Start-Up Funds'!H20</f>
        <v>0</v>
      </c>
      <c r="F20" s="401">
        <v>0</v>
      </c>
      <c r="G20" s="401"/>
      <c r="H20" s="401"/>
      <c r="I20" s="401"/>
      <c r="J20" s="401">
        <v>0</v>
      </c>
      <c r="K20" s="401"/>
      <c r="L20" s="401"/>
      <c r="M20" s="401"/>
      <c r="N20" s="401">
        <v>0</v>
      </c>
      <c r="O20" s="401"/>
      <c r="P20" s="401"/>
      <c r="Q20" s="86">
        <f>SUM(E20:P20)</f>
        <v>0</v>
      </c>
    </row>
    <row r="21" spans="1:17" ht="12.75" customHeight="1">
      <c r="A21" s="85"/>
      <c r="B21" s="85"/>
      <c r="C21" s="85" t="s">
        <v>170</v>
      </c>
      <c r="D21" s="82"/>
      <c r="E21" s="86">
        <f>('6. Cash Receipts-Disbursements'!G15*'15. Income Statement (3)'!E26)+('6. Cash Receipts-Disbursements'!G16*'12. Income Statement (2)'!P26)+('6. Cash Receipts-Disbursements'!G17*'12. Income Statement (2)'!O16)</f>
        <v>0</v>
      </c>
      <c r="F21" s="86">
        <f>('6. Cash Receipts-Disbursements'!G15*'15. Income Statement (3)'!F26)+('6. Cash Receipts-Disbursements'!G16*'15. Income Statement (3)'!E26)+('6. Cash Receipts-Disbursements'!G17*'12. Income Statement (2)'!P26)</f>
        <v>0</v>
      </c>
      <c r="G21" s="86">
        <f>('6. Cash Receipts-Disbursements'!$G$15*'15. Income Statement (3)'!G26)+('6. Cash Receipts-Disbursements'!$G$16*'15. Income Statement (3)'!F26)+('6. Cash Receipts-Disbursements'!$G$17*'15. Income Statement (3)'!E26)</f>
        <v>0</v>
      </c>
      <c r="H21" s="86">
        <f>('6. Cash Receipts-Disbursements'!$G$15*'15. Income Statement (3)'!H26)+('6. Cash Receipts-Disbursements'!$G$16*'15. Income Statement (3)'!G26)+('6. Cash Receipts-Disbursements'!$G$17*'15. Income Statement (3)'!F26)</f>
        <v>0</v>
      </c>
      <c r="I21" s="86">
        <f>('6. Cash Receipts-Disbursements'!$G$15*'15. Income Statement (3)'!I26)+('6. Cash Receipts-Disbursements'!$G$16*'15. Income Statement (3)'!H26)+('6. Cash Receipts-Disbursements'!$G$17*'15. Income Statement (3)'!G26)</f>
        <v>0</v>
      </c>
      <c r="J21" s="86">
        <f>('6. Cash Receipts-Disbursements'!$G$15*'15. Income Statement (3)'!J26)+('6. Cash Receipts-Disbursements'!$G$16*'15. Income Statement (3)'!I26)+('6. Cash Receipts-Disbursements'!$G$17*'15. Income Statement (3)'!H26)</f>
        <v>0</v>
      </c>
      <c r="K21" s="86">
        <f>('6. Cash Receipts-Disbursements'!$G$15*'15. Income Statement (3)'!K26)+('6. Cash Receipts-Disbursements'!$G$16*'15. Income Statement (3)'!J26)+('6. Cash Receipts-Disbursements'!$G$17*'15. Income Statement (3)'!I26)</f>
        <v>0</v>
      </c>
      <c r="L21" s="86">
        <f>('6. Cash Receipts-Disbursements'!$G$15*'15. Income Statement (3)'!L26)+('6. Cash Receipts-Disbursements'!$G$16*'15. Income Statement (3)'!K26)+('6. Cash Receipts-Disbursements'!$G$17*'15. Income Statement (3)'!J26)</f>
        <v>0</v>
      </c>
      <c r="M21" s="86">
        <f>('6. Cash Receipts-Disbursements'!$G$15*'15. Income Statement (3)'!M26)+('6. Cash Receipts-Disbursements'!$G$16*'15. Income Statement (3)'!L26)+('6. Cash Receipts-Disbursements'!$G$17*'15. Income Statement (3)'!K26)</f>
        <v>0</v>
      </c>
      <c r="N21" s="86">
        <f>('6. Cash Receipts-Disbursements'!$G$15*'15. Income Statement (3)'!N26)+('6. Cash Receipts-Disbursements'!$G$16*'15. Income Statement (3)'!M26)+('6. Cash Receipts-Disbursements'!$G$17*'15. Income Statement (3)'!L26)</f>
        <v>0</v>
      </c>
      <c r="O21" s="86">
        <f>('6. Cash Receipts-Disbursements'!$G$15*'15. Income Statement (3)'!O26)+('6. Cash Receipts-Disbursements'!$G$16*'15. Income Statement (3)'!N26)+('6. Cash Receipts-Disbursements'!$G$17*'15. Income Statement (3)'!M26)</f>
        <v>0</v>
      </c>
      <c r="P21" s="86">
        <f>('6. Cash Receipts-Disbursements'!$G$15*'15. Income Statement (3)'!P26)+('6. Cash Receipts-Disbursements'!$G$16*'15. Income Statement (3)'!O26)+('6. Cash Receipts-Disbursements'!$G$17*'15. Income Statement (3)'!N26)</f>
        <v>0</v>
      </c>
      <c r="Q21" s="86">
        <f>SUM(E21:P21)</f>
        <v>0</v>
      </c>
    </row>
    <row r="22" spans="1:17" ht="12.75" customHeight="1">
      <c r="A22" s="85"/>
      <c r="B22" s="85" t="s">
        <v>182</v>
      </c>
      <c r="C22" s="85"/>
      <c r="D22" s="82"/>
      <c r="E22" s="86"/>
      <c r="F22" s="86"/>
      <c r="G22" s="86"/>
      <c r="H22" s="86"/>
      <c r="I22" s="86"/>
      <c r="J22" s="86"/>
      <c r="K22" s="86"/>
      <c r="L22" s="86"/>
      <c r="M22" s="86"/>
      <c r="N22" s="86"/>
      <c r="O22" s="86"/>
      <c r="P22" s="86"/>
      <c r="Q22" s="86"/>
    </row>
    <row r="23" spans="1:17" ht="12.75" customHeight="1">
      <c r="A23" s="85"/>
      <c r="B23" s="85"/>
      <c r="C23" s="85" t="str">
        <f>'8. Income Statement'!A30</f>
        <v>Salaries and Wages</v>
      </c>
      <c r="D23" s="82"/>
      <c r="E23" s="86">
        <f>'15. Income Statement (3)'!E37</f>
        <v>0</v>
      </c>
      <c r="F23" s="86">
        <f>'15. Income Statement (3)'!F37</f>
        <v>0</v>
      </c>
      <c r="G23" s="86">
        <f>'15. Income Statement (3)'!G37</f>
        <v>0</v>
      </c>
      <c r="H23" s="86">
        <f>'15. Income Statement (3)'!H37</f>
        <v>0</v>
      </c>
      <c r="I23" s="86">
        <f>'15. Income Statement (3)'!I37</f>
        <v>0</v>
      </c>
      <c r="J23" s="86">
        <f>'15. Income Statement (3)'!J37</f>
        <v>0</v>
      </c>
      <c r="K23" s="86">
        <f>'15. Income Statement (3)'!K37</f>
        <v>0</v>
      </c>
      <c r="L23" s="86">
        <f>'15. Income Statement (3)'!L37</f>
        <v>0</v>
      </c>
      <c r="M23" s="86">
        <f>'15. Income Statement (3)'!M37</f>
        <v>0</v>
      </c>
      <c r="N23" s="86">
        <f>'15. Income Statement (3)'!N37</f>
        <v>0</v>
      </c>
      <c r="O23" s="86">
        <f>'15. Income Statement (3)'!O37</f>
        <v>0</v>
      </c>
      <c r="P23" s="86">
        <f>'15. Income Statement (3)'!P37</f>
        <v>0</v>
      </c>
      <c r="Q23" s="86">
        <f t="shared" ref="Q23:Q30" si="2">SUM(E23:P23)</f>
        <v>0</v>
      </c>
    </row>
    <row r="24" spans="1:17" ht="12.75" customHeight="1">
      <c r="A24" s="85"/>
      <c r="B24" s="85"/>
      <c r="C24" s="85" t="str">
        <f>'8. Income Statement'!A39</f>
        <v>Fixed Operating Expenses</v>
      </c>
      <c r="D24" s="82"/>
      <c r="E24" s="86">
        <f>'15. Income Statement (3)'!E60</f>
        <v>0</v>
      </c>
      <c r="F24" s="86">
        <f>'15. Income Statement (3)'!F60</f>
        <v>0</v>
      </c>
      <c r="G24" s="86">
        <f>'15. Income Statement (3)'!G60</f>
        <v>0</v>
      </c>
      <c r="H24" s="86">
        <f>'15. Income Statement (3)'!H60</f>
        <v>0</v>
      </c>
      <c r="I24" s="86">
        <f>'15. Income Statement (3)'!I60</f>
        <v>0</v>
      </c>
      <c r="J24" s="86">
        <f>'15. Income Statement (3)'!J60</f>
        <v>0</v>
      </c>
      <c r="K24" s="86">
        <f>'15. Income Statement (3)'!K60</f>
        <v>0</v>
      </c>
      <c r="L24" s="86">
        <f>'15. Income Statement (3)'!L60</f>
        <v>0</v>
      </c>
      <c r="M24" s="86">
        <f>'15. Income Statement (3)'!M60</f>
        <v>0</v>
      </c>
      <c r="N24" s="86">
        <f>'15. Income Statement (3)'!N60</f>
        <v>0</v>
      </c>
      <c r="O24" s="86">
        <f>'15. Income Statement (3)'!O60</f>
        <v>0</v>
      </c>
      <c r="P24" s="86">
        <f>'15. Income Statement (3)'!P60</f>
        <v>0</v>
      </c>
      <c r="Q24" s="86">
        <f t="shared" si="2"/>
        <v>0</v>
      </c>
    </row>
    <row r="25" spans="1:17" ht="12.75" customHeight="1">
      <c r="A25" s="85"/>
      <c r="B25" s="85"/>
      <c r="C25" s="85" t="s">
        <v>188</v>
      </c>
      <c r="D25" s="82"/>
      <c r="E25" s="86">
        <v>0</v>
      </c>
      <c r="F25" s="86">
        <v>0</v>
      </c>
      <c r="G25" s="86">
        <f>SUM('15. Income Statement (3)'!E73:G73)</f>
        <v>0</v>
      </c>
      <c r="H25" s="86">
        <v>0</v>
      </c>
      <c r="I25" s="86">
        <v>0</v>
      </c>
      <c r="J25" s="86">
        <f>SUM('15. Income Statement (3)'!H73:J73)</f>
        <v>0</v>
      </c>
      <c r="K25" s="86">
        <v>0</v>
      </c>
      <c r="L25" s="86">
        <v>0</v>
      </c>
      <c r="M25" s="86">
        <f>SUM('15. Income Statement (3)'!K73:M73)</f>
        <v>0</v>
      </c>
      <c r="N25" s="86">
        <v>0</v>
      </c>
      <c r="O25" s="86">
        <v>0</v>
      </c>
      <c r="P25" s="86">
        <f>SUM('15. Income Statement (3)'!N73:P73)</f>
        <v>0</v>
      </c>
      <c r="Q25" s="86">
        <f t="shared" si="2"/>
        <v>0</v>
      </c>
    </row>
    <row r="26" spans="1:17" ht="12.75" customHeight="1">
      <c r="A26" s="85"/>
      <c r="B26" s="85" t="s">
        <v>183</v>
      </c>
      <c r="C26" s="85"/>
      <c r="D26" s="82"/>
      <c r="E26" s="86"/>
      <c r="F26" s="86"/>
      <c r="G26" s="86"/>
      <c r="H26" s="86"/>
      <c r="I26" s="86"/>
      <c r="J26" s="86"/>
      <c r="K26" s="86"/>
      <c r="L26" s="86"/>
      <c r="M26" s="86"/>
      <c r="N26" s="86"/>
      <c r="O26" s="86"/>
      <c r="P26" s="86"/>
      <c r="Q26" s="86">
        <f t="shared" si="2"/>
        <v>0</v>
      </c>
    </row>
    <row r="27" spans="1:17" ht="12.75" customHeight="1">
      <c r="A27" s="85"/>
      <c r="B27" s="85"/>
      <c r="C27" s="85" t="s">
        <v>184</v>
      </c>
      <c r="D27" s="82"/>
      <c r="E27" s="86">
        <f>+'1. Required Start-Up Funds'!$L$50-'1. Required Start-Up Funds'!$L$44+'20. Debt Amoritization Schedule'!G103+'20. Debt Amoritization Schedule'!G104</f>
        <v>0</v>
      </c>
      <c r="F27" s="86">
        <f>+'1. Required Start-Up Funds'!$L$50-'1. Required Start-Up Funds'!$L$44+'20. Debt Amoritization Schedule'!H103+'20. Debt Amoritization Schedule'!H104</f>
        <v>0</v>
      </c>
      <c r="G27" s="86">
        <f>+'1. Required Start-Up Funds'!$L$50-'1. Required Start-Up Funds'!$L$44+'20. Debt Amoritization Schedule'!I103+'20. Debt Amoritization Schedule'!I104</f>
        <v>0</v>
      </c>
      <c r="H27" s="86">
        <f>+'1. Required Start-Up Funds'!$L$50-'1. Required Start-Up Funds'!$L$44+'20. Debt Amoritization Schedule'!J103+'20. Debt Amoritization Schedule'!J104</f>
        <v>0</v>
      </c>
      <c r="I27" s="86">
        <f>+'1. Required Start-Up Funds'!$L$50-'1. Required Start-Up Funds'!$L$44+'20. Debt Amoritization Schedule'!K103+'20. Debt Amoritization Schedule'!K104</f>
        <v>0</v>
      </c>
      <c r="J27" s="86">
        <f>+'1. Required Start-Up Funds'!$L$50-'1. Required Start-Up Funds'!$L$44+'20. Debt Amoritization Schedule'!L103+'20. Debt Amoritization Schedule'!L104</f>
        <v>0</v>
      </c>
      <c r="K27" s="86">
        <f>+'1. Required Start-Up Funds'!$L$50-'1. Required Start-Up Funds'!$L$44+'20. Debt Amoritization Schedule'!M103+'20. Debt Amoritization Schedule'!M104</f>
        <v>0</v>
      </c>
      <c r="L27" s="86">
        <f>+'1. Required Start-Up Funds'!$L$50-'1. Required Start-Up Funds'!$L$44+'20. Debt Amoritization Schedule'!N103+'20. Debt Amoritization Schedule'!N104</f>
        <v>0</v>
      </c>
      <c r="M27" s="86">
        <f>+'1. Required Start-Up Funds'!$L$50-'1. Required Start-Up Funds'!$L$44+'20. Debt Amoritization Schedule'!O103+'20. Debt Amoritization Schedule'!O104</f>
        <v>0</v>
      </c>
      <c r="N27" s="86">
        <f>+'1. Required Start-Up Funds'!$L$50-'1. Required Start-Up Funds'!$L$44+'20. Debt Amoritization Schedule'!P103+'20. Debt Amoritization Schedule'!P104</f>
        <v>0</v>
      </c>
      <c r="O27" s="86">
        <f>+'1. Required Start-Up Funds'!$L$50-'1. Required Start-Up Funds'!$L$44+'20. Debt Amoritization Schedule'!Q103+'20. Debt Amoritization Schedule'!Q104</f>
        <v>0</v>
      </c>
      <c r="P27" s="86">
        <f>+'1. Required Start-Up Funds'!$L$50-'1. Required Start-Up Funds'!$L$44+'20. Debt Amoritization Schedule'!R103+'20. Debt Amoritization Schedule'!R104</f>
        <v>0</v>
      </c>
      <c r="Q27" s="86">
        <f t="shared" si="2"/>
        <v>0</v>
      </c>
    </row>
    <row r="28" spans="1:17" ht="12.75" customHeight="1">
      <c r="A28" s="85"/>
      <c r="B28" s="85"/>
      <c r="C28" s="85" t="s">
        <v>185</v>
      </c>
      <c r="D28" s="82"/>
      <c r="E28" s="86">
        <f>'6. Cash Receipts-Disbursements'!G22/12*'13. Cash Flow Statement (2)'!P42</f>
        <v>0</v>
      </c>
      <c r="F28" s="86">
        <f>'6. Cash Receipts-Disbursements'!G22/12*'16. Cash Flow Statement (3)'!E42</f>
        <v>0</v>
      </c>
      <c r="G28" s="86">
        <f>('6. Cash Receipts-Disbursements'!$G$22/12)*F42</f>
        <v>0</v>
      </c>
      <c r="H28" s="86">
        <f>('6. Cash Receipts-Disbursements'!$G$22/12)*G42</f>
        <v>0</v>
      </c>
      <c r="I28" s="86">
        <f>('6. Cash Receipts-Disbursements'!$G$22/12)*H42</f>
        <v>0</v>
      </c>
      <c r="J28" s="86">
        <f>('6. Cash Receipts-Disbursements'!$G$22/12)*I42</f>
        <v>0</v>
      </c>
      <c r="K28" s="86">
        <f>('6. Cash Receipts-Disbursements'!$G$22/12)*J42</f>
        <v>0</v>
      </c>
      <c r="L28" s="86">
        <f>('6. Cash Receipts-Disbursements'!$G$22/12)*K42</f>
        <v>0</v>
      </c>
      <c r="M28" s="86">
        <f>('6. Cash Receipts-Disbursements'!$G$22/12)*L42</f>
        <v>0</v>
      </c>
      <c r="N28" s="86">
        <f>('6. Cash Receipts-Disbursements'!$G$22/12)*M42</f>
        <v>0</v>
      </c>
      <c r="O28" s="86">
        <f>('6. Cash Receipts-Disbursements'!$G$22/12)*N42</f>
        <v>0</v>
      </c>
      <c r="P28" s="86">
        <f>('6. Cash Receipts-Disbursements'!$G$22/12)*O42</f>
        <v>0</v>
      </c>
      <c r="Q28" s="86">
        <f t="shared" si="2"/>
        <v>0</v>
      </c>
    </row>
    <row r="29" spans="1:17" ht="12.75" customHeight="1">
      <c r="A29" s="85"/>
      <c r="B29" s="85"/>
      <c r="C29" s="85" t="s">
        <v>186</v>
      </c>
      <c r="D29" s="82"/>
      <c r="E29" s="401">
        <v>0</v>
      </c>
      <c r="F29" s="401">
        <v>0</v>
      </c>
      <c r="G29" s="401">
        <v>0</v>
      </c>
      <c r="H29" s="401">
        <v>0</v>
      </c>
      <c r="I29" s="401">
        <v>0</v>
      </c>
      <c r="J29" s="401">
        <v>0</v>
      </c>
      <c r="K29" s="401">
        <v>0</v>
      </c>
      <c r="L29" s="401">
        <v>0</v>
      </c>
      <c r="M29" s="401">
        <v>0</v>
      </c>
      <c r="N29" s="401">
        <v>0</v>
      </c>
      <c r="O29" s="401">
        <v>0</v>
      </c>
      <c r="P29" s="401">
        <v>0</v>
      </c>
      <c r="Q29" s="86">
        <f t="shared" si="2"/>
        <v>0</v>
      </c>
    </row>
    <row r="30" spans="1:17" ht="12.75" customHeight="1" thickBot="1">
      <c r="A30" s="1"/>
      <c r="B30" s="1"/>
      <c r="C30" s="1" t="s">
        <v>187</v>
      </c>
      <c r="D30" s="37"/>
      <c r="E30" s="400">
        <v>0</v>
      </c>
      <c r="F30" s="400"/>
      <c r="G30" s="400">
        <v>0</v>
      </c>
      <c r="H30" s="400">
        <v>0</v>
      </c>
      <c r="I30" s="400">
        <v>0</v>
      </c>
      <c r="J30" s="400">
        <v>0</v>
      </c>
      <c r="K30" s="400">
        <v>0</v>
      </c>
      <c r="L30" s="400">
        <v>0</v>
      </c>
      <c r="M30" s="400">
        <v>0</v>
      </c>
      <c r="N30" s="400">
        <v>0</v>
      </c>
      <c r="O30" s="400">
        <v>0</v>
      </c>
      <c r="P30" s="400">
        <v>0</v>
      </c>
      <c r="Q30" s="49">
        <f t="shared" si="2"/>
        <v>0</v>
      </c>
    </row>
    <row r="31" spans="1:17" ht="12.75" customHeight="1">
      <c r="A31" s="1" t="s">
        <v>189</v>
      </c>
      <c r="B31" s="1"/>
      <c r="C31" s="1"/>
      <c r="D31" s="37"/>
      <c r="E31" s="45">
        <f>SUM(E19:E30)-E21-E20+E51+E52+E55</f>
        <v>0</v>
      </c>
      <c r="F31" s="45">
        <f t="shared" ref="F31:P31" si="3">SUM(F19:F30)-F21-F20+F51+F52+F55</f>
        <v>0</v>
      </c>
      <c r="G31" s="45">
        <f t="shared" si="3"/>
        <v>0</v>
      </c>
      <c r="H31" s="45">
        <f t="shared" si="3"/>
        <v>0</v>
      </c>
      <c r="I31" s="45">
        <f t="shared" si="3"/>
        <v>0</v>
      </c>
      <c r="J31" s="45">
        <f t="shared" si="3"/>
        <v>0</v>
      </c>
      <c r="K31" s="45">
        <f t="shared" si="3"/>
        <v>0</v>
      </c>
      <c r="L31" s="45">
        <f t="shared" si="3"/>
        <v>0</v>
      </c>
      <c r="M31" s="45">
        <f t="shared" si="3"/>
        <v>0</v>
      </c>
      <c r="N31" s="45">
        <f t="shared" si="3"/>
        <v>0</v>
      </c>
      <c r="O31" s="45">
        <f t="shared" si="3"/>
        <v>0</v>
      </c>
      <c r="P31" s="45">
        <f t="shared" si="3"/>
        <v>0</v>
      </c>
      <c r="Q31" s="45">
        <f>SUM(Q19:Q30)</f>
        <v>0</v>
      </c>
    </row>
    <row r="32" spans="1:17" ht="12.75" customHeight="1">
      <c r="A32" s="1"/>
      <c r="B32" s="1"/>
      <c r="C32" s="1"/>
      <c r="D32" s="37"/>
      <c r="E32" s="45"/>
      <c r="F32" s="45"/>
      <c r="G32" s="45"/>
      <c r="H32" s="45"/>
      <c r="I32" s="45"/>
      <c r="J32" s="45"/>
      <c r="K32" s="45"/>
      <c r="L32" s="45"/>
      <c r="M32" s="45"/>
      <c r="N32" s="45"/>
      <c r="O32" s="45"/>
      <c r="P32" s="45"/>
      <c r="Q32" s="45"/>
    </row>
    <row r="33" spans="1:17" ht="12.75" customHeight="1">
      <c r="A33" s="1" t="s">
        <v>191</v>
      </c>
      <c r="B33" s="1"/>
      <c r="C33" s="1"/>
      <c r="D33" s="37"/>
      <c r="E33" s="45">
        <f t="shared" ref="E33:P33" si="4">E15-E31</f>
        <v>0</v>
      </c>
      <c r="F33" s="45">
        <f t="shared" si="4"/>
        <v>0</v>
      </c>
      <c r="G33" s="45">
        <f t="shared" si="4"/>
        <v>0</v>
      </c>
      <c r="H33" s="45">
        <f t="shared" si="4"/>
        <v>0</v>
      </c>
      <c r="I33" s="45">
        <f t="shared" si="4"/>
        <v>0</v>
      </c>
      <c r="J33" s="45">
        <f t="shared" si="4"/>
        <v>0</v>
      </c>
      <c r="K33" s="45">
        <f t="shared" si="4"/>
        <v>0</v>
      </c>
      <c r="L33" s="45">
        <f t="shared" si="4"/>
        <v>0</v>
      </c>
      <c r="M33" s="45">
        <f t="shared" si="4"/>
        <v>0</v>
      </c>
      <c r="N33" s="45">
        <f t="shared" si="4"/>
        <v>0</v>
      </c>
      <c r="O33" s="45">
        <f t="shared" si="4"/>
        <v>0</v>
      </c>
      <c r="P33" s="45">
        <f t="shared" si="4"/>
        <v>0</v>
      </c>
      <c r="Q33" s="45">
        <f>SUM(E33:P33)</f>
        <v>0</v>
      </c>
    </row>
    <row r="34" spans="1:17" ht="12.75" customHeight="1">
      <c r="A34" s="1"/>
      <c r="B34" s="1"/>
      <c r="C34" s="1"/>
      <c r="D34" s="37"/>
      <c r="E34" s="45"/>
      <c r="F34" s="45"/>
      <c r="G34" s="45"/>
      <c r="H34" s="45"/>
      <c r="I34" s="45"/>
      <c r="J34" s="45"/>
      <c r="K34" s="45"/>
      <c r="L34" s="45"/>
      <c r="M34" s="45"/>
      <c r="N34" s="45"/>
      <c r="O34" s="45"/>
      <c r="P34" s="45"/>
      <c r="Q34" s="45"/>
    </row>
    <row r="35" spans="1:17" ht="12.75" customHeight="1" thickBot="1">
      <c r="A35" s="1" t="s">
        <v>190</v>
      </c>
      <c r="B35" s="1"/>
      <c r="C35" s="1"/>
      <c r="D35" s="37"/>
      <c r="E35" s="49">
        <f t="shared" ref="E35:P35" si="5">E8+E33</f>
        <v>0</v>
      </c>
      <c r="F35" s="49">
        <f t="shared" si="5"/>
        <v>0</v>
      </c>
      <c r="G35" s="49">
        <f t="shared" si="5"/>
        <v>0</v>
      </c>
      <c r="H35" s="49">
        <f t="shared" si="5"/>
        <v>0</v>
      </c>
      <c r="I35" s="49">
        <f t="shared" si="5"/>
        <v>0</v>
      </c>
      <c r="J35" s="49">
        <f t="shared" si="5"/>
        <v>0</v>
      </c>
      <c r="K35" s="49">
        <f t="shared" si="5"/>
        <v>0</v>
      </c>
      <c r="L35" s="49">
        <f t="shared" si="5"/>
        <v>0</v>
      </c>
      <c r="M35" s="49">
        <f t="shared" si="5"/>
        <v>0</v>
      </c>
      <c r="N35" s="49">
        <f t="shared" si="5"/>
        <v>0</v>
      </c>
      <c r="O35" s="49">
        <f t="shared" si="5"/>
        <v>0</v>
      </c>
      <c r="P35" s="49">
        <f t="shared" si="5"/>
        <v>0</v>
      </c>
      <c r="Q35" s="49"/>
    </row>
    <row r="36" spans="1:17" ht="12.75" customHeight="1">
      <c r="A36" s="1"/>
      <c r="B36" s="1"/>
      <c r="C36" s="1"/>
      <c r="D36" s="37"/>
      <c r="E36" s="45"/>
      <c r="F36" s="45"/>
      <c r="G36" s="45"/>
      <c r="H36" s="45"/>
      <c r="I36" s="45"/>
      <c r="J36" s="45"/>
      <c r="K36" s="45"/>
      <c r="L36" s="45"/>
      <c r="M36" s="45"/>
      <c r="N36" s="45"/>
      <c r="O36" s="45"/>
      <c r="P36" s="45"/>
      <c r="Q36" s="45"/>
    </row>
    <row r="37" spans="1:17" ht="12.75" customHeight="1">
      <c r="A37" s="1" t="s">
        <v>408</v>
      </c>
      <c r="B37" s="1"/>
      <c r="C37" s="1"/>
      <c r="D37" s="37"/>
      <c r="E37" s="45">
        <f>IF((E35-'6. Cash Receipts-Disbursements'!$G$21)&lt;0,'6. Cash Receipts-Disbursements'!$G$21-'16. Cash Flow Statement (3)'!E35,0)</f>
        <v>0</v>
      </c>
      <c r="F37" s="45">
        <f>IF((F35-'6. Cash Receipts-Disbursements'!$G$21)&lt;0,'6. Cash Receipts-Disbursements'!$G$21-'16. Cash Flow Statement (3)'!F35,0)</f>
        <v>0</v>
      </c>
      <c r="G37" s="45">
        <f>IF((G35-'6. Cash Receipts-Disbursements'!$G$21)&lt;0,'6. Cash Receipts-Disbursements'!$G$21-'16. Cash Flow Statement (3)'!G35,0)</f>
        <v>0</v>
      </c>
      <c r="H37" s="45">
        <f>IF((H35-'6. Cash Receipts-Disbursements'!$G$21)&lt;0,'6. Cash Receipts-Disbursements'!$G$21-'16. Cash Flow Statement (3)'!H35,0)</f>
        <v>0</v>
      </c>
      <c r="I37" s="45">
        <f>IF((I35-'6. Cash Receipts-Disbursements'!$G$21)&lt;0,'6. Cash Receipts-Disbursements'!$G$21-'16. Cash Flow Statement (3)'!I35,0)</f>
        <v>0</v>
      </c>
      <c r="J37" s="45">
        <f>IF((J35-'6. Cash Receipts-Disbursements'!$G$21)&lt;0,'6. Cash Receipts-Disbursements'!$G$21-'16. Cash Flow Statement (3)'!J35,0)</f>
        <v>0</v>
      </c>
      <c r="K37" s="45">
        <f>IF((K35-'6. Cash Receipts-Disbursements'!$G$21)&lt;0,'6. Cash Receipts-Disbursements'!$G$21-'16. Cash Flow Statement (3)'!K35,0)</f>
        <v>0</v>
      </c>
      <c r="L37" s="45">
        <f>IF((L35-'6. Cash Receipts-Disbursements'!$G$21)&lt;0,'6. Cash Receipts-Disbursements'!$G$21-'16. Cash Flow Statement (3)'!L35,0)</f>
        <v>0</v>
      </c>
      <c r="M37" s="45">
        <f>IF((M35-'6. Cash Receipts-Disbursements'!$G$21)&lt;0,'6. Cash Receipts-Disbursements'!$G$21-'16. Cash Flow Statement (3)'!M35,0)</f>
        <v>0</v>
      </c>
      <c r="N37" s="45">
        <f>IF((N35-'6. Cash Receipts-Disbursements'!$G$21)&lt;0,'6. Cash Receipts-Disbursements'!$G$21-'16. Cash Flow Statement (3)'!N35,0)</f>
        <v>0</v>
      </c>
      <c r="O37" s="45">
        <f>IF((O35-'6. Cash Receipts-Disbursements'!$G$21)&lt;0,'6. Cash Receipts-Disbursements'!$G$21-'16. Cash Flow Statement (3)'!O35,0)</f>
        <v>0</v>
      </c>
      <c r="P37" s="45">
        <f>IF((P35-'6. Cash Receipts-Disbursements'!$G$21)&lt;0,'6. Cash Receipts-Disbursements'!$G$21-'16. Cash Flow Statement (3)'!P35,0)</f>
        <v>0</v>
      </c>
      <c r="Q37" s="45">
        <f>SUM(E37:P37)</f>
        <v>0</v>
      </c>
    </row>
    <row r="38" spans="1:17" ht="12.75" customHeight="1" thickBot="1">
      <c r="A38" s="1"/>
      <c r="B38" s="1"/>
      <c r="C38" s="1"/>
      <c r="D38" s="37"/>
      <c r="E38" s="49"/>
      <c r="F38" s="49"/>
      <c r="G38" s="49"/>
      <c r="H38" s="49"/>
      <c r="I38" s="49"/>
      <c r="J38" s="49"/>
      <c r="K38" s="49"/>
      <c r="L38" s="49"/>
      <c r="M38" s="49"/>
      <c r="N38" s="49"/>
      <c r="O38" s="49"/>
      <c r="P38" s="49"/>
      <c r="Q38" s="49"/>
    </row>
    <row r="39" spans="1:17" ht="15.75" customHeight="1" thickBot="1">
      <c r="A39" s="1" t="s">
        <v>193</v>
      </c>
      <c r="B39" s="1"/>
      <c r="C39" s="1"/>
      <c r="D39" s="37"/>
      <c r="E39" s="57">
        <f>E35+E37-E67</f>
        <v>0</v>
      </c>
      <c r="F39" s="57">
        <f t="shared" ref="F39:P39" si="6">F35+F37-F67</f>
        <v>0</v>
      </c>
      <c r="G39" s="57">
        <f t="shared" si="6"/>
        <v>0</v>
      </c>
      <c r="H39" s="57">
        <f t="shared" si="6"/>
        <v>0</v>
      </c>
      <c r="I39" s="57">
        <f t="shared" si="6"/>
        <v>0</v>
      </c>
      <c r="J39" s="57">
        <f t="shared" si="6"/>
        <v>0</v>
      </c>
      <c r="K39" s="57">
        <f t="shared" si="6"/>
        <v>0</v>
      </c>
      <c r="L39" s="57">
        <f t="shared" si="6"/>
        <v>0</v>
      </c>
      <c r="M39" s="57">
        <f t="shared" si="6"/>
        <v>0</v>
      </c>
      <c r="N39" s="57">
        <f t="shared" si="6"/>
        <v>0</v>
      </c>
      <c r="O39" s="57">
        <f t="shared" si="6"/>
        <v>0</v>
      </c>
      <c r="P39" s="57">
        <f t="shared" si="6"/>
        <v>0</v>
      </c>
      <c r="Q39" s="57"/>
    </row>
    <row r="40" spans="1:17" ht="12.75" customHeight="1" thickTop="1">
      <c r="A40" s="1"/>
      <c r="B40" s="1"/>
      <c r="C40" s="1"/>
      <c r="D40" s="37"/>
      <c r="E40" s="45"/>
      <c r="F40" s="45"/>
      <c r="G40" s="45"/>
      <c r="H40" s="45"/>
      <c r="I40" s="45"/>
      <c r="J40" s="45"/>
      <c r="K40" s="45"/>
      <c r="L40" s="45"/>
      <c r="M40" s="45"/>
      <c r="N40" s="45"/>
      <c r="O40" s="45"/>
      <c r="P40" s="45"/>
      <c r="Q40" s="45"/>
    </row>
    <row r="41" spans="1:17" ht="12.75" customHeight="1">
      <c r="A41" s="1"/>
      <c r="B41" s="1"/>
      <c r="C41" s="1"/>
      <c r="D41" s="37"/>
      <c r="E41" s="45"/>
      <c r="F41" s="45"/>
      <c r="G41" s="45"/>
      <c r="H41" s="45"/>
      <c r="I41" s="45"/>
      <c r="J41" s="45"/>
      <c r="K41" s="45"/>
      <c r="L41" s="45"/>
      <c r="M41" s="45"/>
      <c r="N41" s="45"/>
      <c r="O41" s="45"/>
      <c r="P41" s="45"/>
      <c r="Q41" s="45"/>
    </row>
    <row r="42" spans="1:17" ht="12.75" customHeight="1">
      <c r="A42" s="1" t="s">
        <v>407</v>
      </c>
      <c r="B42" s="1"/>
      <c r="C42" s="1"/>
      <c r="D42" s="37"/>
      <c r="E42" s="86">
        <f>E37+'13. Cash Flow Statement (2)'!P42-'16. Cash Flow Statement (3)'!E29</f>
        <v>0</v>
      </c>
      <c r="F42" s="150">
        <f>IF((E42+F37-F29-F45)&gt;0,E42+F37+F29-F45,0)</f>
        <v>0</v>
      </c>
      <c r="G42" s="150">
        <f t="shared" ref="G42:P42" si="7">IF((F42+G37-G29-G45)&gt;0,F42+G37+G29-G45,0)</f>
        <v>0</v>
      </c>
      <c r="H42" s="150">
        <f t="shared" si="7"/>
        <v>0</v>
      </c>
      <c r="I42" s="150">
        <f t="shared" si="7"/>
        <v>0</v>
      </c>
      <c r="J42" s="150">
        <f t="shared" si="7"/>
        <v>0</v>
      </c>
      <c r="K42" s="150">
        <f t="shared" si="7"/>
        <v>0</v>
      </c>
      <c r="L42" s="150">
        <f t="shared" si="7"/>
        <v>0</v>
      </c>
      <c r="M42" s="150">
        <f t="shared" si="7"/>
        <v>0</v>
      </c>
      <c r="N42" s="150">
        <f t="shared" si="7"/>
        <v>0</v>
      </c>
      <c r="O42" s="150">
        <f t="shared" si="7"/>
        <v>0</v>
      </c>
      <c r="P42" s="150">
        <f t="shared" si="7"/>
        <v>0</v>
      </c>
      <c r="Q42" s="86"/>
    </row>
    <row r="43" spans="1:17" ht="12.75" customHeight="1">
      <c r="A43" s="1"/>
      <c r="B43" s="1"/>
      <c r="C43" s="1"/>
      <c r="D43" s="37"/>
      <c r="E43" s="37"/>
      <c r="F43" s="37"/>
      <c r="G43" s="37"/>
      <c r="H43" s="37"/>
      <c r="I43" s="37"/>
      <c r="J43" s="37"/>
      <c r="K43" s="37"/>
      <c r="L43" s="37"/>
      <c r="M43" s="37"/>
      <c r="N43" s="37"/>
      <c r="O43" s="37"/>
      <c r="P43" s="37"/>
      <c r="Q43" s="37"/>
    </row>
    <row r="44" spans="1:17" ht="12.75" customHeight="1">
      <c r="A44" s="1"/>
      <c r="B44" s="1"/>
      <c r="C44" s="1"/>
      <c r="D44" s="37"/>
      <c r="E44" s="37"/>
      <c r="F44" s="37"/>
      <c r="G44" s="37"/>
      <c r="H44" s="37"/>
      <c r="I44" s="37"/>
      <c r="J44" s="37"/>
      <c r="K44" s="37"/>
      <c r="L44" s="37"/>
      <c r="M44" s="37"/>
      <c r="N44" s="37"/>
      <c r="O44" s="37"/>
      <c r="P44" s="37"/>
      <c r="Q44" s="37"/>
    </row>
    <row r="45" spans="1:17" ht="12.75" customHeight="1">
      <c r="A45" s="1" t="s">
        <v>117</v>
      </c>
      <c r="B45" s="173"/>
      <c r="C45" s="1"/>
      <c r="D45" s="37"/>
      <c r="E45" s="176">
        <f>IF('13. Cash Flow Statement (2)'!P42-E66&gt;0,E66,'13. Cash Flow Statement (2)'!P42)</f>
        <v>0</v>
      </c>
      <c r="F45" s="176">
        <f t="shared" ref="F45:P45" si="8">IF(E42-F66&gt;0,F66,E42)</f>
        <v>0</v>
      </c>
      <c r="G45" s="176">
        <f t="shared" si="8"/>
        <v>0</v>
      </c>
      <c r="H45" s="176">
        <f t="shared" si="8"/>
        <v>0</v>
      </c>
      <c r="I45" s="176">
        <f t="shared" si="8"/>
        <v>0</v>
      </c>
      <c r="J45" s="176">
        <f t="shared" si="8"/>
        <v>0</v>
      </c>
      <c r="K45" s="176">
        <f t="shared" si="8"/>
        <v>0</v>
      </c>
      <c r="L45" s="176">
        <f t="shared" si="8"/>
        <v>0</v>
      </c>
      <c r="M45" s="176">
        <f t="shared" si="8"/>
        <v>0</v>
      </c>
      <c r="N45" s="176">
        <f t="shared" si="8"/>
        <v>0</v>
      </c>
      <c r="O45" s="176">
        <f t="shared" si="8"/>
        <v>0</v>
      </c>
      <c r="P45" s="176">
        <f t="shared" si="8"/>
        <v>0</v>
      </c>
      <c r="Q45" s="37"/>
    </row>
    <row r="46" spans="1:17" ht="12.75" customHeight="1">
      <c r="A46" s="1"/>
      <c r="B46" s="1"/>
      <c r="C46" s="1"/>
      <c r="D46" s="37"/>
      <c r="E46" s="53"/>
      <c r="F46" s="37"/>
      <c r="G46" s="37"/>
      <c r="H46" s="37"/>
      <c r="I46" s="37"/>
      <c r="J46" s="37"/>
      <c r="K46" s="37"/>
      <c r="L46" s="37"/>
      <c r="M46" s="37"/>
      <c r="N46" s="37"/>
      <c r="O46" s="37"/>
      <c r="P46" s="37"/>
      <c r="Q46" s="37"/>
    </row>
    <row r="47" spans="1:17" ht="12.75" customHeight="1">
      <c r="A47" s="1"/>
      <c r="B47" s="1"/>
      <c r="C47" s="1"/>
      <c r="D47" s="37"/>
      <c r="E47" s="37"/>
      <c r="F47" s="37"/>
      <c r="G47" s="37"/>
      <c r="H47" s="37"/>
      <c r="I47" s="37"/>
      <c r="J47" s="37"/>
      <c r="K47" s="37"/>
      <c r="L47" s="37"/>
      <c r="M47" s="37"/>
      <c r="N47" s="37"/>
      <c r="O47" s="37"/>
      <c r="P47" s="37"/>
      <c r="Q47" s="37"/>
    </row>
    <row r="48" spans="1:17" ht="12.75" customHeight="1">
      <c r="A48" s="1"/>
      <c r="B48" s="1"/>
      <c r="C48" s="1"/>
      <c r="D48" s="37"/>
      <c r="E48" s="37"/>
      <c r="F48" s="37"/>
      <c r="G48" s="37"/>
      <c r="H48" s="37"/>
      <c r="I48" s="37"/>
      <c r="J48" s="37"/>
      <c r="K48" s="37"/>
      <c r="L48" s="37"/>
      <c r="M48" s="37"/>
      <c r="N48" s="37"/>
      <c r="O48" s="37"/>
      <c r="P48" s="37"/>
      <c r="Q48" s="37"/>
    </row>
    <row r="49" spans="1:17" ht="12.75" customHeight="1">
      <c r="A49" s="1" t="s">
        <v>46</v>
      </c>
      <c r="B49" s="1"/>
      <c r="C49" s="1"/>
      <c r="D49" s="37"/>
      <c r="E49" s="45">
        <f>+'13. Cash Flow Statement (2)'!P53</f>
        <v>0</v>
      </c>
      <c r="F49" s="45">
        <f>+E53</f>
        <v>0</v>
      </c>
      <c r="G49" s="45">
        <f t="shared" ref="G49:P49" si="9">+F53</f>
        <v>0</v>
      </c>
      <c r="H49" s="45">
        <f t="shared" si="9"/>
        <v>0</v>
      </c>
      <c r="I49" s="45">
        <f t="shared" si="9"/>
        <v>0</v>
      </c>
      <c r="J49" s="45">
        <f t="shared" si="9"/>
        <v>0</v>
      </c>
      <c r="K49" s="45">
        <f t="shared" si="9"/>
        <v>0</v>
      </c>
      <c r="L49" s="45">
        <f t="shared" si="9"/>
        <v>0</v>
      </c>
      <c r="M49" s="45">
        <f t="shared" si="9"/>
        <v>0</v>
      </c>
      <c r="N49" s="45">
        <f t="shared" si="9"/>
        <v>0</v>
      </c>
      <c r="O49" s="45">
        <f t="shared" si="9"/>
        <v>0</v>
      </c>
      <c r="P49" s="45">
        <f t="shared" si="9"/>
        <v>0</v>
      </c>
      <c r="Q49" s="37"/>
    </row>
    <row r="50" spans="1:17" ht="12.75" customHeight="1">
      <c r="A50" s="1" t="s">
        <v>47</v>
      </c>
      <c r="B50" s="1"/>
      <c r="C50" s="1"/>
      <c r="D50" s="37"/>
      <c r="E50" s="45">
        <f>+E21-'5.Prod 7-20 Unit Sales Forecast'!H391</f>
        <v>0</v>
      </c>
      <c r="F50" s="45">
        <f>+F21-'5.Prod 7-20 Unit Sales Forecast'!I391</f>
        <v>0</v>
      </c>
      <c r="G50" s="45">
        <f>+G21-'5.Prod 7-20 Unit Sales Forecast'!J391</f>
        <v>0</v>
      </c>
      <c r="H50" s="45">
        <f>+H21-'5.Prod 7-20 Unit Sales Forecast'!K391</f>
        <v>0</v>
      </c>
      <c r="I50" s="45">
        <f>+I21-'5.Prod 7-20 Unit Sales Forecast'!L391</f>
        <v>0</v>
      </c>
      <c r="J50" s="45">
        <f>+J21-'5.Prod 7-20 Unit Sales Forecast'!M391</f>
        <v>0</v>
      </c>
      <c r="K50" s="45">
        <f>+K21-'5.Prod 7-20 Unit Sales Forecast'!N391</f>
        <v>0</v>
      </c>
      <c r="L50" s="45">
        <f>+L21-'5.Prod 7-20 Unit Sales Forecast'!O391</f>
        <v>0</v>
      </c>
      <c r="M50" s="45">
        <f>+M21-'5.Prod 7-20 Unit Sales Forecast'!P391</f>
        <v>0</v>
      </c>
      <c r="N50" s="45">
        <f>+N21-'5.Prod 7-20 Unit Sales Forecast'!Q391</f>
        <v>0</v>
      </c>
      <c r="O50" s="45">
        <f>+O21-'5.Prod 7-20 Unit Sales Forecast'!R391</f>
        <v>0</v>
      </c>
      <c r="P50" s="45">
        <f>+P21-'5.Prod 7-20 Unit Sales Forecast'!S391</f>
        <v>0</v>
      </c>
      <c r="Q50" s="53">
        <f>SUM(E50:P50)</f>
        <v>0</v>
      </c>
    </row>
    <row r="51" spans="1:17" ht="12.75" customHeight="1">
      <c r="A51" s="1" t="s">
        <v>48</v>
      </c>
      <c r="B51" s="1"/>
      <c r="C51" s="1"/>
      <c r="D51" s="37"/>
      <c r="E51" s="45">
        <f>+E20</f>
        <v>0</v>
      </c>
      <c r="F51" s="45">
        <f>+F20</f>
        <v>0</v>
      </c>
      <c r="G51" s="45">
        <f t="shared" ref="G51:P51" si="10">+G20</f>
        <v>0</v>
      </c>
      <c r="H51" s="45">
        <f t="shared" si="10"/>
        <v>0</v>
      </c>
      <c r="I51" s="45">
        <f t="shared" si="10"/>
        <v>0</v>
      </c>
      <c r="J51" s="45">
        <f t="shared" si="10"/>
        <v>0</v>
      </c>
      <c r="K51" s="45">
        <f t="shared" si="10"/>
        <v>0</v>
      </c>
      <c r="L51" s="45">
        <f t="shared" si="10"/>
        <v>0</v>
      </c>
      <c r="M51" s="45">
        <f t="shared" si="10"/>
        <v>0</v>
      </c>
      <c r="N51" s="45">
        <f t="shared" si="10"/>
        <v>0</v>
      </c>
      <c r="O51" s="45">
        <f t="shared" si="10"/>
        <v>0</v>
      </c>
      <c r="P51" s="45">
        <f t="shared" si="10"/>
        <v>0</v>
      </c>
      <c r="Q51" s="37"/>
    </row>
    <row r="52" spans="1:17" ht="12.75" customHeight="1">
      <c r="A52" s="1" t="s">
        <v>49</v>
      </c>
      <c r="B52" s="1"/>
      <c r="C52" s="1"/>
      <c r="D52" s="37"/>
      <c r="E52" s="45">
        <f t="shared" ref="E52:P52" si="11">IF(E49-E50+E51&gt;=mininv3,0,mininv3-E49+E50-E51)</f>
        <v>0</v>
      </c>
      <c r="F52" s="45">
        <f t="shared" si="11"/>
        <v>0</v>
      </c>
      <c r="G52" s="45">
        <f t="shared" si="11"/>
        <v>0</v>
      </c>
      <c r="H52" s="45">
        <f t="shared" si="11"/>
        <v>0</v>
      </c>
      <c r="I52" s="45">
        <f t="shared" si="11"/>
        <v>0</v>
      </c>
      <c r="J52" s="45">
        <f t="shared" si="11"/>
        <v>0</v>
      </c>
      <c r="K52" s="45">
        <f t="shared" si="11"/>
        <v>0</v>
      </c>
      <c r="L52" s="45">
        <f t="shared" si="11"/>
        <v>0</v>
      </c>
      <c r="M52" s="45">
        <f t="shared" si="11"/>
        <v>0</v>
      </c>
      <c r="N52" s="45">
        <f t="shared" si="11"/>
        <v>0</v>
      </c>
      <c r="O52" s="45">
        <f t="shared" si="11"/>
        <v>0</v>
      </c>
      <c r="P52" s="45">
        <f t="shared" si="11"/>
        <v>0</v>
      </c>
      <c r="Q52" s="53">
        <f>SUM(E52:P52)</f>
        <v>0</v>
      </c>
    </row>
    <row r="53" spans="1:17" ht="12.75" customHeight="1">
      <c r="A53" s="1" t="s">
        <v>50</v>
      </c>
      <c r="B53" s="1"/>
      <c r="C53" s="1"/>
      <c r="D53" s="37"/>
      <c r="E53" s="45">
        <f>+E49-E50+E51+E52</f>
        <v>0</v>
      </c>
      <c r="F53" s="45">
        <f>+F49-F50+F51+F52</f>
        <v>0</v>
      </c>
      <c r="G53" s="45">
        <f t="shared" ref="G53:P53" si="12">+G49-G50+G51+G52</f>
        <v>0</v>
      </c>
      <c r="H53" s="45">
        <f t="shared" si="12"/>
        <v>0</v>
      </c>
      <c r="I53" s="45">
        <f t="shared" si="12"/>
        <v>0</v>
      </c>
      <c r="J53" s="45">
        <f t="shared" si="12"/>
        <v>0</v>
      </c>
      <c r="K53" s="45">
        <f t="shared" si="12"/>
        <v>0</v>
      </c>
      <c r="L53" s="45">
        <f t="shared" si="12"/>
        <v>0</v>
      </c>
      <c r="M53" s="45">
        <f t="shared" si="12"/>
        <v>0</v>
      </c>
      <c r="N53" s="45">
        <f t="shared" si="12"/>
        <v>0</v>
      </c>
      <c r="O53" s="45">
        <f t="shared" si="12"/>
        <v>0</v>
      </c>
      <c r="P53" s="45">
        <f t="shared" si="12"/>
        <v>0</v>
      </c>
      <c r="Q53" s="37"/>
    </row>
    <row r="54" spans="1:17" ht="12.75" customHeight="1">
      <c r="A54" s="1"/>
      <c r="B54" s="1"/>
      <c r="C54" s="1"/>
      <c r="D54" s="37"/>
      <c r="E54" s="37"/>
      <c r="F54" s="37"/>
      <c r="G54" s="37"/>
      <c r="H54" s="37"/>
      <c r="I54" s="37"/>
      <c r="J54" s="37"/>
      <c r="K54" s="37"/>
      <c r="L54" s="37"/>
      <c r="M54" s="37"/>
      <c r="N54" s="37"/>
      <c r="O54" s="37"/>
      <c r="P54" s="37"/>
      <c r="Q54" s="37"/>
    </row>
    <row r="55" spans="1:17" ht="12.75" customHeight="1">
      <c r="A55" s="6" t="s">
        <v>384</v>
      </c>
      <c r="D55" s="1"/>
      <c r="E55" s="287">
        <f>+E21-E50</f>
        <v>0</v>
      </c>
      <c r="F55" s="287">
        <f t="shared" ref="F55:P55" si="13">+F21-F50</f>
        <v>0</v>
      </c>
      <c r="G55" s="287">
        <f t="shared" si="13"/>
        <v>0</v>
      </c>
      <c r="H55" s="287">
        <f t="shared" si="13"/>
        <v>0</v>
      </c>
      <c r="I55" s="287">
        <f t="shared" si="13"/>
        <v>0</v>
      </c>
      <c r="J55" s="287">
        <f t="shared" si="13"/>
        <v>0</v>
      </c>
      <c r="K55" s="287">
        <f t="shared" si="13"/>
        <v>0</v>
      </c>
      <c r="L55" s="287">
        <f t="shared" si="13"/>
        <v>0</v>
      </c>
      <c r="M55" s="287">
        <f t="shared" si="13"/>
        <v>0</v>
      </c>
      <c r="N55" s="287">
        <f t="shared" si="13"/>
        <v>0</v>
      </c>
      <c r="O55" s="287">
        <f t="shared" si="13"/>
        <v>0</v>
      </c>
      <c r="P55" s="287">
        <f t="shared" si="13"/>
        <v>0</v>
      </c>
    </row>
    <row r="56" spans="1:17" ht="12.75" customHeight="1">
      <c r="E56" s="14"/>
      <c r="F56" s="14"/>
      <c r="G56" s="14"/>
      <c r="H56" s="14"/>
      <c r="I56" s="14"/>
      <c r="J56" s="14"/>
      <c r="K56" s="14"/>
      <c r="L56" s="14"/>
      <c r="M56" s="14"/>
      <c r="N56" s="14"/>
      <c r="O56" s="14"/>
      <c r="P56" s="14"/>
      <c r="Q56" s="14"/>
    </row>
    <row r="57" spans="1:17" ht="12.75" customHeight="1">
      <c r="E57" s="14"/>
      <c r="F57" s="14"/>
      <c r="G57" s="14"/>
      <c r="H57" s="14"/>
      <c r="I57" s="14"/>
      <c r="J57" s="14"/>
      <c r="K57" s="14"/>
      <c r="L57" s="14"/>
      <c r="M57" s="14"/>
      <c r="N57" s="14"/>
      <c r="O57" s="14"/>
      <c r="P57" s="14"/>
      <c r="Q57" s="14"/>
    </row>
    <row r="58" spans="1:17" ht="12.75" customHeight="1">
      <c r="E58" s="14"/>
      <c r="F58" s="14"/>
      <c r="G58" s="14"/>
      <c r="H58" s="14"/>
      <c r="I58" s="14"/>
      <c r="J58" s="14"/>
      <c r="K58" s="14"/>
      <c r="L58" s="14"/>
      <c r="M58" s="14"/>
      <c r="N58" s="14"/>
      <c r="O58" s="14"/>
      <c r="P58" s="14"/>
      <c r="Q58" s="14"/>
    </row>
    <row r="59" spans="1:17" ht="12.75" customHeight="1">
      <c r="D59" s="7"/>
      <c r="E59" s="14"/>
      <c r="F59" s="14"/>
      <c r="G59" s="14"/>
      <c r="H59" s="14"/>
      <c r="I59" s="14"/>
      <c r="J59" s="14"/>
      <c r="K59" s="14"/>
      <c r="L59" s="14"/>
      <c r="M59" s="14"/>
      <c r="N59" s="14"/>
      <c r="O59" s="14"/>
      <c r="P59" s="14"/>
      <c r="Q59" s="14"/>
    </row>
    <row r="60" spans="1:17" ht="12.75" customHeight="1">
      <c r="D60" s="7"/>
      <c r="E60" s="14"/>
      <c r="F60" s="14"/>
      <c r="G60" s="14"/>
      <c r="H60" s="14"/>
      <c r="I60" s="14"/>
      <c r="J60" s="14"/>
      <c r="K60" s="14"/>
      <c r="L60" s="14"/>
      <c r="M60" s="14"/>
      <c r="N60" s="14"/>
      <c r="O60" s="14"/>
      <c r="P60" s="14"/>
      <c r="Q60" s="14"/>
    </row>
    <row r="61" spans="1:17" ht="12.75" customHeight="1">
      <c r="D61" s="7"/>
      <c r="E61" s="14"/>
      <c r="F61" s="14"/>
      <c r="G61" s="14"/>
      <c r="H61" s="14"/>
      <c r="I61" s="14"/>
      <c r="J61" s="14"/>
      <c r="K61" s="14"/>
      <c r="L61" s="14"/>
      <c r="M61" s="14"/>
      <c r="N61" s="14"/>
      <c r="O61" s="14"/>
      <c r="P61" s="14"/>
      <c r="Q61" s="14"/>
    </row>
    <row r="62" spans="1:17" ht="12.75" customHeight="1">
      <c r="A62" s="6" t="s">
        <v>6</v>
      </c>
      <c r="D62" s="7"/>
      <c r="E62" s="174">
        <f>IF('13. Cash Flow Statement (2)'!P42&gt;0,D42,0)</f>
        <v>0</v>
      </c>
      <c r="F62" s="174">
        <f>IF(E42&gt;0,E42,0)</f>
        <v>0</v>
      </c>
      <c r="G62" s="174">
        <f t="shared" ref="G62:P62" si="14">IF(F42&gt;0,F42,0)</f>
        <v>0</v>
      </c>
      <c r="H62" s="174">
        <f t="shared" si="14"/>
        <v>0</v>
      </c>
      <c r="I62" s="174">
        <f t="shared" si="14"/>
        <v>0</v>
      </c>
      <c r="J62" s="174">
        <f t="shared" si="14"/>
        <v>0</v>
      </c>
      <c r="K62" s="174">
        <f t="shared" si="14"/>
        <v>0</v>
      </c>
      <c r="L62" s="174">
        <f t="shared" si="14"/>
        <v>0</v>
      </c>
      <c r="M62" s="174">
        <f t="shared" si="14"/>
        <v>0</v>
      </c>
      <c r="N62" s="174">
        <f t="shared" si="14"/>
        <v>0</v>
      </c>
      <c r="O62" s="174">
        <f t="shared" si="14"/>
        <v>0</v>
      </c>
      <c r="P62" s="174">
        <f t="shared" si="14"/>
        <v>0</v>
      </c>
      <c r="Q62" s="14"/>
    </row>
    <row r="63" spans="1:17" ht="12.75" customHeight="1">
      <c r="F63" s="175"/>
      <c r="G63" s="175"/>
      <c r="H63" s="175"/>
      <c r="I63" s="175"/>
      <c r="J63" s="175"/>
      <c r="K63" s="175"/>
      <c r="L63" s="175"/>
      <c r="M63" s="175"/>
      <c r="N63" s="175"/>
      <c r="O63" s="175"/>
      <c r="P63" s="175"/>
      <c r="Q63" s="14"/>
    </row>
    <row r="64" spans="1:17" ht="12.75" customHeight="1">
      <c r="A64" s="6" t="s">
        <v>3</v>
      </c>
      <c r="E64" s="174">
        <f>IF(E62&gt;0,(IF(E33&gt;0, E33,0)),0)</f>
        <v>0</v>
      </c>
      <c r="F64" s="174">
        <f>IF(F62&gt;0,(IF(F33&gt;0, F33,0)),0)</f>
        <v>0</v>
      </c>
      <c r="G64" s="174">
        <f t="shared" ref="G64:P64" si="15">IF(G62&gt;0,(IF(G33&gt;0, G33,0)),0)</f>
        <v>0</v>
      </c>
      <c r="H64" s="174">
        <f t="shared" si="15"/>
        <v>0</v>
      </c>
      <c r="I64" s="174">
        <f t="shared" si="15"/>
        <v>0</v>
      </c>
      <c r="J64" s="174">
        <f t="shared" si="15"/>
        <v>0</v>
      </c>
      <c r="K64" s="174">
        <f t="shared" si="15"/>
        <v>0</v>
      </c>
      <c r="L64" s="174">
        <f t="shared" si="15"/>
        <v>0</v>
      </c>
      <c r="M64" s="174">
        <f t="shared" si="15"/>
        <v>0</v>
      </c>
      <c r="N64" s="174">
        <f t="shared" si="15"/>
        <v>0</v>
      </c>
      <c r="O64" s="174">
        <f t="shared" si="15"/>
        <v>0</v>
      </c>
      <c r="P64" s="174">
        <f t="shared" si="15"/>
        <v>0</v>
      </c>
      <c r="Q64" s="14"/>
    </row>
    <row r="65" spans="1:17" ht="12.75" customHeight="1">
      <c r="A65" s="6" t="s">
        <v>4</v>
      </c>
      <c r="E65" s="86">
        <f>IF(E64&gt;0,(IF(MinCash&gt;0,E35-MinCash,E33)),0)</f>
        <v>0</v>
      </c>
      <c r="F65" s="86">
        <f>IF(F64&gt;0,(IF(MinCash&gt;0,F35-MinCash,F33)),0)</f>
        <v>0</v>
      </c>
      <c r="G65" s="86">
        <f t="shared" ref="G65:P65" si="16">IF(G64&gt;0,(IF(MinCash&gt;0,G35-MinCash,G33)),0)</f>
        <v>0</v>
      </c>
      <c r="H65" s="86">
        <f t="shared" si="16"/>
        <v>0</v>
      </c>
      <c r="I65" s="86">
        <f t="shared" si="16"/>
        <v>0</v>
      </c>
      <c r="J65" s="86">
        <f t="shared" si="16"/>
        <v>0</v>
      </c>
      <c r="K65" s="86">
        <f t="shared" si="16"/>
        <v>0</v>
      </c>
      <c r="L65" s="86">
        <f t="shared" si="16"/>
        <v>0</v>
      </c>
      <c r="M65" s="86">
        <f t="shared" si="16"/>
        <v>0</v>
      </c>
      <c r="N65" s="86">
        <f t="shared" si="16"/>
        <v>0</v>
      </c>
      <c r="O65" s="86">
        <f t="shared" si="16"/>
        <v>0</v>
      </c>
      <c r="P65" s="86">
        <f t="shared" si="16"/>
        <v>0</v>
      </c>
      <c r="Q65" s="14"/>
    </row>
    <row r="66" spans="1:17" ht="12.75" customHeight="1">
      <c r="A66" s="6" t="s">
        <v>5</v>
      </c>
      <c r="E66" s="174">
        <f t="shared" ref="E66:P66" si="17">IF(E65=E33,(IF(MinRed=0,0,MinRed*E33)),E65)</f>
        <v>0</v>
      </c>
      <c r="F66" s="174">
        <f t="shared" si="17"/>
        <v>0</v>
      </c>
      <c r="G66" s="174">
        <f t="shared" si="17"/>
        <v>0</v>
      </c>
      <c r="H66" s="174">
        <f t="shared" si="17"/>
        <v>0</v>
      </c>
      <c r="I66" s="174">
        <f t="shared" si="17"/>
        <v>0</v>
      </c>
      <c r="J66" s="174">
        <f t="shared" si="17"/>
        <v>0</v>
      </c>
      <c r="K66" s="174">
        <f t="shared" si="17"/>
        <v>0</v>
      </c>
      <c r="L66" s="174">
        <f t="shared" si="17"/>
        <v>0</v>
      </c>
      <c r="M66" s="174">
        <f t="shared" si="17"/>
        <v>0</v>
      </c>
      <c r="N66" s="174">
        <f t="shared" si="17"/>
        <v>0</v>
      </c>
      <c r="O66" s="174">
        <f t="shared" si="17"/>
        <v>0</v>
      </c>
      <c r="P66" s="174">
        <f t="shared" si="17"/>
        <v>0</v>
      </c>
      <c r="Q66" s="14"/>
    </row>
    <row r="67" spans="1:17" ht="12.75" customHeight="1">
      <c r="A67" s="6" t="s">
        <v>35</v>
      </c>
      <c r="E67" s="77">
        <f>IF(E66&lt;'13. Cash Flow Statement (2)'!P42,E66,'13. Cash Flow Statement (2)'!P42)</f>
        <v>0</v>
      </c>
      <c r="F67" s="77">
        <f t="shared" ref="F67:P67" si="18">IF(F66&lt;E42,F66,E42)</f>
        <v>0</v>
      </c>
      <c r="G67" s="77">
        <f t="shared" si="18"/>
        <v>0</v>
      </c>
      <c r="H67" s="77">
        <f t="shared" si="18"/>
        <v>0</v>
      </c>
      <c r="I67" s="77">
        <f t="shared" si="18"/>
        <v>0</v>
      </c>
      <c r="J67" s="77">
        <f t="shared" si="18"/>
        <v>0</v>
      </c>
      <c r="K67" s="77">
        <f t="shared" si="18"/>
        <v>0</v>
      </c>
      <c r="L67" s="77">
        <f t="shared" si="18"/>
        <v>0</v>
      </c>
      <c r="M67" s="77">
        <f t="shared" si="18"/>
        <v>0</v>
      </c>
      <c r="N67" s="77">
        <f t="shared" si="18"/>
        <v>0</v>
      </c>
      <c r="O67" s="77">
        <f t="shared" si="18"/>
        <v>0</v>
      </c>
      <c r="P67" s="77">
        <f t="shared" si="18"/>
        <v>0</v>
      </c>
      <c r="Q67" s="14"/>
    </row>
    <row r="68" spans="1:17" ht="12.75" customHeight="1"/>
    <row r="69" spans="1:17" ht="12.75" customHeight="1"/>
    <row r="70" spans="1:17" ht="12.75" customHeight="1"/>
    <row r="71" spans="1:17" ht="12.75" customHeight="1"/>
    <row r="72" spans="1:17" ht="12.75" customHeight="1"/>
    <row r="73" spans="1:17" ht="12.75" customHeight="1"/>
    <row r="74" spans="1:17" ht="12.75" customHeight="1"/>
    <row r="75" spans="1:17" ht="12.75" customHeight="1"/>
    <row r="76" spans="1:17" ht="12.75" customHeight="1"/>
    <row r="77" spans="1:17" ht="12.75" customHeight="1"/>
    <row r="78" spans="1:17" ht="12.75" customHeight="1"/>
    <row r="79" spans="1:17" ht="12.75" customHeight="1"/>
    <row r="80" spans="1:17"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sheetData>
  <phoneticPr fontId="4" type="noConversion"/>
  <pageMargins left="0.75" right="0.75" top="1" bottom="0.75" header="0.5" footer="0.5"/>
  <pageSetup scale="75" orientation="landscape" blackAndWhite="1" horizontalDpi="300" verticalDpi="300"/>
  <headerFooter alignWithMargins="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Q59"/>
  <sheetViews>
    <sheetView showGridLines="0" zoomScale="90" zoomScaleNormal="90" zoomScaleSheetLayoutView="100" workbookViewId="0">
      <selection activeCell="M46" sqref="M46"/>
    </sheetView>
  </sheetViews>
  <sheetFormatPr defaultColWidth="8.85546875" defaultRowHeight="12"/>
  <cols>
    <col min="1" max="1" width="3" customWidth="1"/>
    <col min="2" max="3" width="3" style="1" customWidth="1"/>
    <col min="4" max="4" width="25.85546875" customWidth="1"/>
    <col min="5" max="5" width="16.85546875" customWidth="1"/>
    <col min="6" max="6" width="3" customWidth="1"/>
    <col min="7" max="7" width="13.5703125" customWidth="1"/>
    <col min="8" max="8" width="14.140625" customWidth="1"/>
    <col min="9" max="9" width="20.85546875" customWidth="1"/>
    <col min="10" max="11" width="16.85546875" customWidth="1"/>
    <col min="12" max="12" width="17.140625" customWidth="1"/>
    <col min="13" max="13" width="12.28515625" customWidth="1"/>
    <col min="14" max="16" width="14.85546875" customWidth="1"/>
  </cols>
  <sheetData>
    <row r="1" spans="1:17" ht="15.75">
      <c r="A1" s="2" t="str">
        <f>IF(Introduction!$B$21=""," ",Introduction!$B$21)</f>
        <v xml:space="preserve"> </v>
      </c>
      <c r="B1" s="2"/>
      <c r="C1" s="2"/>
      <c r="D1" s="2"/>
      <c r="E1" s="2"/>
      <c r="F1" s="2"/>
      <c r="G1" s="2"/>
      <c r="H1" s="2"/>
      <c r="I1" s="2"/>
      <c r="J1" s="2"/>
      <c r="K1" s="2"/>
      <c r="L1" s="2"/>
      <c r="M1" s="2"/>
      <c r="N1" s="2"/>
      <c r="O1" s="12">
        <f ca="1">NOW()</f>
        <v>44645.344484374997</v>
      </c>
      <c r="P1" s="2"/>
      <c r="Q1" s="2"/>
    </row>
    <row r="2" spans="1:17" ht="15.75">
      <c r="A2" s="133" t="s">
        <v>90</v>
      </c>
      <c r="B2" s="4"/>
      <c r="C2" s="4"/>
      <c r="D2" s="4"/>
      <c r="E2" s="4"/>
      <c r="F2" s="4"/>
      <c r="G2" s="4"/>
      <c r="H2" s="4"/>
      <c r="I2" s="4"/>
      <c r="J2" s="4"/>
      <c r="K2" s="4"/>
      <c r="L2" s="4"/>
      <c r="M2" s="4"/>
      <c r="N2" s="4"/>
      <c r="O2" s="4"/>
      <c r="P2" s="2"/>
      <c r="Q2" s="2"/>
    </row>
    <row r="3" spans="1:17" ht="12.75" customHeight="1">
      <c r="A3" s="134" t="s">
        <v>91</v>
      </c>
      <c r="B3" s="23"/>
      <c r="C3" s="23"/>
      <c r="D3" s="22"/>
      <c r="E3" s="22"/>
      <c r="F3" s="22"/>
      <c r="G3" s="22"/>
      <c r="H3" s="22"/>
      <c r="I3" s="24"/>
      <c r="J3" s="24"/>
      <c r="K3" s="24"/>
      <c r="L3" s="24"/>
      <c r="M3" s="24"/>
      <c r="N3" s="24"/>
      <c r="O3" s="24"/>
    </row>
    <row r="4" spans="1:17" ht="12.75" customHeight="1">
      <c r="A4" s="24"/>
      <c r="B4" s="23"/>
      <c r="C4" s="23"/>
      <c r="D4" s="24"/>
      <c r="E4" s="24"/>
      <c r="F4" s="24"/>
      <c r="G4" s="24"/>
      <c r="H4" s="24"/>
      <c r="I4" s="24"/>
      <c r="J4" s="24"/>
      <c r="K4" s="24"/>
      <c r="L4" s="24"/>
      <c r="M4" s="24"/>
      <c r="N4" s="24"/>
      <c r="O4" s="24"/>
    </row>
    <row r="5" spans="1:17" ht="12.75" customHeight="1">
      <c r="A5" s="24"/>
      <c r="B5" s="23"/>
      <c r="C5" s="23"/>
      <c r="D5" s="24"/>
      <c r="E5" s="24"/>
      <c r="F5" s="24"/>
      <c r="G5" s="24"/>
      <c r="H5" s="24"/>
      <c r="I5" s="24"/>
      <c r="J5" s="24"/>
      <c r="K5" s="24"/>
      <c r="L5" s="24"/>
      <c r="M5" s="24"/>
      <c r="N5" s="24"/>
      <c r="O5" s="24"/>
    </row>
    <row r="6" spans="1:17" s="1" customFormat="1" ht="45.75" customHeight="1">
      <c r="A6" s="1" t="s">
        <v>54</v>
      </c>
      <c r="B6" s="23"/>
      <c r="C6" s="23"/>
      <c r="D6" s="23"/>
      <c r="E6" s="25" t="s">
        <v>247</v>
      </c>
      <c r="F6" s="25"/>
      <c r="G6" s="275" t="s">
        <v>0</v>
      </c>
      <c r="H6" s="275" t="s">
        <v>1</v>
      </c>
      <c r="I6" s="25" t="s">
        <v>248</v>
      </c>
      <c r="J6" s="25" t="s">
        <v>249</v>
      </c>
      <c r="K6" s="25"/>
      <c r="L6" s="23" t="s">
        <v>250</v>
      </c>
      <c r="M6" s="23"/>
      <c r="N6" s="23"/>
      <c r="O6" s="23"/>
    </row>
    <row r="7" spans="1:17" ht="12.75" customHeight="1">
      <c r="A7" s="24"/>
      <c r="B7" s="23" t="s">
        <v>251</v>
      </c>
      <c r="C7" s="23"/>
      <c r="D7" s="24"/>
      <c r="E7" s="24"/>
      <c r="F7" s="24"/>
      <c r="G7" s="24"/>
      <c r="H7" s="24"/>
      <c r="I7" s="24"/>
      <c r="J7" s="24"/>
      <c r="K7" s="24"/>
      <c r="L7" s="124"/>
      <c r="M7" s="124"/>
      <c r="N7" s="24"/>
      <c r="O7" s="24"/>
    </row>
    <row r="8" spans="1:17" ht="12.75" customHeight="1">
      <c r="A8" s="24"/>
      <c r="B8" s="23"/>
      <c r="C8" s="26" t="s">
        <v>99</v>
      </c>
      <c r="D8" s="24"/>
      <c r="E8" s="122"/>
      <c r="F8" s="27"/>
      <c r="G8" s="324"/>
      <c r="H8" s="325"/>
      <c r="I8" s="28"/>
      <c r="J8" s="24"/>
      <c r="K8" s="24"/>
      <c r="L8" s="124"/>
      <c r="M8" s="124"/>
      <c r="N8" s="24"/>
      <c r="O8" s="24"/>
    </row>
    <row r="9" spans="1:17" ht="12.75" customHeight="1">
      <c r="A9" s="24"/>
      <c r="B9" s="23"/>
      <c r="C9" s="26" t="s">
        <v>252</v>
      </c>
      <c r="D9" s="24"/>
      <c r="E9" s="122"/>
      <c r="F9" s="29"/>
      <c r="G9" s="324"/>
      <c r="H9" s="325"/>
      <c r="I9" s="28"/>
      <c r="J9" s="123">
        <v>20</v>
      </c>
      <c r="K9" s="24" t="s">
        <v>266</v>
      </c>
      <c r="L9" s="125"/>
      <c r="M9" s="124"/>
      <c r="N9" s="24"/>
      <c r="O9" s="24"/>
    </row>
    <row r="10" spans="1:17" ht="12.75" customHeight="1">
      <c r="A10" s="24"/>
      <c r="B10" s="23"/>
      <c r="C10" s="26" t="s">
        <v>253</v>
      </c>
      <c r="D10" s="24"/>
      <c r="E10" s="381"/>
      <c r="F10" s="29"/>
      <c r="G10" s="276"/>
      <c r="H10" s="276"/>
      <c r="I10" s="28"/>
      <c r="J10" s="123">
        <v>5</v>
      </c>
      <c r="K10" s="24" t="s">
        <v>266</v>
      </c>
      <c r="L10" s="125"/>
      <c r="M10" s="124"/>
      <c r="N10" s="24"/>
      <c r="O10" s="24"/>
    </row>
    <row r="11" spans="1:17" ht="12.75" customHeight="1">
      <c r="A11" s="24"/>
      <c r="B11" s="23"/>
      <c r="C11" s="26" t="s">
        <v>254</v>
      </c>
      <c r="D11" s="24"/>
      <c r="E11" s="381"/>
      <c r="F11" s="29"/>
      <c r="G11" s="277"/>
      <c r="H11" s="277"/>
      <c r="I11" s="28"/>
      <c r="J11" s="123">
        <v>5</v>
      </c>
      <c r="K11" s="24" t="s">
        <v>266</v>
      </c>
      <c r="L11" s="125"/>
      <c r="M11" s="124"/>
      <c r="N11" s="24"/>
      <c r="O11" s="24"/>
    </row>
    <row r="12" spans="1:17" ht="12.75" customHeight="1">
      <c r="A12" s="24"/>
      <c r="B12" s="23"/>
      <c r="C12" s="26" t="s">
        <v>255</v>
      </c>
      <c r="D12" s="24"/>
      <c r="E12" s="381"/>
      <c r="F12" s="29"/>
      <c r="G12" s="277"/>
      <c r="H12" s="277"/>
      <c r="I12" s="28"/>
      <c r="J12" s="123">
        <v>5</v>
      </c>
      <c r="K12" s="24" t="s">
        <v>266</v>
      </c>
      <c r="L12" s="125"/>
      <c r="M12" s="124"/>
      <c r="N12" s="24"/>
      <c r="O12" s="24"/>
    </row>
    <row r="13" spans="1:17" ht="12.75" customHeight="1">
      <c r="A13" s="24"/>
      <c r="B13" s="23"/>
      <c r="C13" s="26" t="s">
        <v>256</v>
      </c>
      <c r="D13" s="24"/>
      <c r="E13" s="381"/>
      <c r="F13" s="29"/>
      <c r="G13" s="277"/>
      <c r="H13" s="277"/>
      <c r="I13" s="28"/>
      <c r="J13" s="123">
        <v>5</v>
      </c>
      <c r="K13" s="24" t="s">
        <v>266</v>
      </c>
      <c r="L13" s="125"/>
      <c r="M13" s="124"/>
      <c r="N13" s="24"/>
      <c r="O13" s="24"/>
    </row>
    <row r="14" spans="1:17" ht="12.75" customHeight="1" thickBot="1">
      <c r="A14" s="24"/>
      <c r="B14" s="23"/>
      <c r="C14" s="26" t="s">
        <v>257</v>
      </c>
      <c r="D14" s="24"/>
      <c r="E14" s="382"/>
      <c r="F14" s="29"/>
      <c r="G14" s="278"/>
      <c r="H14" s="278"/>
      <c r="I14" s="30"/>
      <c r="J14" s="123">
        <v>5</v>
      </c>
      <c r="K14" s="24" t="s">
        <v>266</v>
      </c>
      <c r="L14" s="125"/>
      <c r="M14" s="124"/>
      <c r="N14" s="24"/>
      <c r="O14" s="24"/>
    </row>
    <row r="15" spans="1:17" ht="12.75" customHeight="1">
      <c r="A15" s="24"/>
      <c r="B15" s="23" t="s">
        <v>258</v>
      </c>
      <c r="C15" s="23"/>
      <c r="D15" s="24"/>
      <c r="E15" s="27">
        <f>SUM(E8:E14)</f>
        <v>0</v>
      </c>
      <c r="F15" s="28"/>
      <c r="G15" s="28">
        <f>SUM(G8:G14)</f>
        <v>0</v>
      </c>
      <c r="H15" s="28">
        <f>SUM(H8:H14)</f>
        <v>0</v>
      </c>
      <c r="I15" s="27">
        <f>SUM(E15:H15)</f>
        <v>0</v>
      </c>
      <c r="J15" s="24"/>
      <c r="K15" s="24"/>
      <c r="L15" s="126"/>
      <c r="M15" s="124"/>
      <c r="N15" s="24"/>
      <c r="O15" s="24"/>
    </row>
    <row r="16" spans="1:17" ht="12.75" customHeight="1">
      <c r="A16" s="24"/>
      <c r="B16" s="23"/>
      <c r="C16" s="23"/>
      <c r="D16" s="24"/>
      <c r="E16" s="31"/>
      <c r="F16" s="28"/>
      <c r="G16" s="28"/>
      <c r="H16" s="28"/>
      <c r="I16" s="28"/>
      <c r="J16" s="24"/>
      <c r="K16" s="24"/>
      <c r="L16" s="127"/>
      <c r="M16" s="124"/>
      <c r="N16" s="24"/>
      <c r="O16" s="24"/>
    </row>
    <row r="17" spans="1:15" ht="12.75" customHeight="1">
      <c r="A17" s="24"/>
      <c r="B17" s="23" t="s">
        <v>259</v>
      </c>
      <c r="C17" s="23"/>
      <c r="D17" s="24"/>
      <c r="E17" s="31"/>
      <c r="F17" s="28"/>
      <c r="G17" s="28"/>
      <c r="H17" s="28"/>
      <c r="I17" s="28"/>
      <c r="J17" s="24"/>
      <c r="K17" s="24"/>
      <c r="L17" s="124"/>
      <c r="M17" s="124"/>
      <c r="N17" s="24"/>
      <c r="O17" s="24"/>
    </row>
    <row r="18" spans="1:15" ht="12.75" customHeight="1">
      <c r="A18" s="24"/>
      <c r="B18" s="23"/>
      <c r="C18" s="1" t="s">
        <v>333</v>
      </c>
      <c r="D18" s="24"/>
      <c r="E18" s="244"/>
      <c r="F18" s="27"/>
      <c r="G18" s="27"/>
      <c r="H18" s="27"/>
      <c r="I18" s="28"/>
      <c r="J18" s="24"/>
      <c r="K18" s="24"/>
      <c r="L18" s="124"/>
      <c r="M18" s="124"/>
      <c r="N18" s="24"/>
      <c r="O18" s="24"/>
    </row>
    <row r="19" spans="1:15" ht="12.75" customHeight="1">
      <c r="A19" s="24"/>
      <c r="B19" s="23"/>
      <c r="C19" s="23" t="s">
        <v>260</v>
      </c>
      <c r="D19" s="24"/>
      <c r="E19" s="383"/>
      <c r="F19" s="29"/>
      <c r="G19" s="29"/>
      <c r="H19" s="29"/>
      <c r="I19" s="28"/>
      <c r="J19" s="24"/>
      <c r="K19" s="24"/>
      <c r="L19" s="124"/>
      <c r="M19" s="124"/>
      <c r="N19" s="24"/>
      <c r="O19" s="24"/>
    </row>
    <row r="20" spans="1:15" ht="12.75" customHeight="1">
      <c r="A20" s="24"/>
      <c r="B20" s="23"/>
      <c r="C20" s="23" t="s">
        <v>199</v>
      </c>
      <c r="D20" s="24"/>
      <c r="E20" s="383"/>
      <c r="F20" s="29"/>
      <c r="G20" s="279"/>
      <c r="H20" s="279"/>
      <c r="I20" s="28"/>
      <c r="J20" s="135"/>
      <c r="K20" s="24"/>
      <c r="L20" s="124"/>
      <c r="M20" s="124"/>
      <c r="N20" s="24"/>
      <c r="O20" s="24"/>
    </row>
    <row r="21" spans="1:15" ht="12.75" customHeight="1">
      <c r="A21" s="24"/>
      <c r="B21" s="23"/>
      <c r="C21" s="23" t="s">
        <v>261</v>
      </c>
      <c r="D21" s="24"/>
      <c r="E21" s="383"/>
      <c r="F21" s="29"/>
      <c r="G21" s="29"/>
      <c r="H21" s="29"/>
      <c r="I21" s="28"/>
      <c r="J21" s="24"/>
      <c r="K21" s="24"/>
      <c r="L21" s="124"/>
      <c r="M21" s="124"/>
      <c r="N21" s="24"/>
      <c r="O21" s="24"/>
    </row>
    <row r="22" spans="1:15" ht="12.75" customHeight="1">
      <c r="A22" s="24"/>
      <c r="B22" s="23"/>
      <c r="C22" s="23" t="s">
        <v>262</v>
      </c>
      <c r="D22" s="24"/>
      <c r="E22" s="383"/>
      <c r="F22" s="29"/>
      <c r="G22" s="29"/>
      <c r="H22" s="29"/>
      <c r="I22" s="28"/>
      <c r="J22" s="24"/>
      <c r="K22" s="24"/>
      <c r="L22" s="124"/>
      <c r="M22" s="124"/>
      <c r="N22" s="24"/>
      <c r="O22" s="24"/>
    </row>
    <row r="23" spans="1:15" ht="12.75" customHeight="1">
      <c r="A23" s="24"/>
      <c r="B23" s="23"/>
      <c r="C23" s="23" t="s">
        <v>263</v>
      </c>
      <c r="D23" s="24"/>
      <c r="E23" s="383"/>
      <c r="F23" s="29"/>
      <c r="G23" s="29"/>
      <c r="H23" s="29"/>
      <c r="I23" s="28"/>
      <c r="J23" s="24"/>
      <c r="K23" s="24"/>
      <c r="L23" s="124"/>
      <c r="M23" s="124"/>
      <c r="N23" s="24"/>
      <c r="O23" s="24"/>
    </row>
    <row r="24" spans="1:15" ht="12.75" customHeight="1">
      <c r="A24" s="24"/>
      <c r="B24" s="23"/>
      <c r="C24" s="1" t="s">
        <v>354</v>
      </c>
      <c r="D24" s="24"/>
      <c r="E24" s="383"/>
      <c r="F24" s="29"/>
      <c r="G24" s="29"/>
      <c r="H24" s="29"/>
      <c r="I24" s="28"/>
      <c r="J24" s="24"/>
      <c r="K24" s="24"/>
      <c r="L24" s="124"/>
      <c r="M24" s="124"/>
      <c r="N24" s="24"/>
      <c r="O24" s="24"/>
    </row>
    <row r="25" spans="1:15" ht="12.75" customHeight="1">
      <c r="A25" s="24"/>
      <c r="B25" s="23"/>
      <c r="C25" s="1" t="s">
        <v>355</v>
      </c>
      <c r="D25" s="24"/>
      <c r="E25" s="383"/>
      <c r="F25" s="29"/>
      <c r="G25" s="29"/>
      <c r="H25" s="29"/>
      <c r="I25" s="28"/>
      <c r="J25" s="24"/>
      <c r="K25" s="24"/>
      <c r="L25" s="124"/>
      <c r="M25" s="124"/>
      <c r="N25" s="24"/>
      <c r="O25" s="24"/>
    </row>
    <row r="26" spans="1:15" ht="12.75" customHeight="1">
      <c r="A26" s="24"/>
      <c r="B26" s="23"/>
      <c r="C26" s="23" t="s">
        <v>264</v>
      </c>
      <c r="D26" s="24"/>
      <c r="E26" s="383"/>
      <c r="F26" s="29"/>
      <c r="G26" s="29"/>
      <c r="H26" s="29"/>
      <c r="I26" s="28"/>
      <c r="J26" s="24"/>
      <c r="K26" s="24"/>
      <c r="L26" s="124"/>
      <c r="M26" s="124"/>
      <c r="N26" s="24"/>
      <c r="O26" s="24"/>
    </row>
    <row r="27" spans="1:15" ht="12.75" customHeight="1">
      <c r="A27" s="24"/>
      <c r="B27" s="23"/>
      <c r="C27" s="1" t="s">
        <v>356</v>
      </c>
      <c r="D27" s="24"/>
      <c r="E27" s="383"/>
      <c r="F27" s="29"/>
      <c r="G27" s="29"/>
      <c r="H27" s="29"/>
      <c r="I27" s="28"/>
      <c r="J27" s="24"/>
      <c r="K27" s="24"/>
      <c r="L27" s="124"/>
      <c r="M27" s="124"/>
      <c r="N27" s="24"/>
      <c r="O27" s="24"/>
    </row>
    <row r="28" spans="1:15" ht="12.75" customHeight="1" thickBot="1">
      <c r="A28" s="24"/>
      <c r="B28" s="23"/>
      <c r="C28" s="1" t="s">
        <v>357</v>
      </c>
      <c r="D28" s="24"/>
      <c r="E28" s="382"/>
      <c r="F28" s="29"/>
      <c r="G28" s="29"/>
      <c r="H28" s="29"/>
      <c r="I28" s="30"/>
      <c r="J28" s="137" t="s">
        <v>106</v>
      </c>
      <c r="K28" s="24"/>
      <c r="L28" s="124"/>
      <c r="M28" s="124"/>
      <c r="N28" s="24"/>
      <c r="O28" s="24"/>
    </row>
    <row r="29" spans="1:15" ht="12.75" customHeight="1">
      <c r="A29" s="24"/>
      <c r="B29" s="1" t="s">
        <v>334</v>
      </c>
      <c r="C29" s="23"/>
      <c r="D29" s="24"/>
      <c r="E29" s="28">
        <f>SUM(E18:E28)</f>
        <v>0</v>
      </c>
      <c r="F29" s="28"/>
      <c r="G29" s="28"/>
      <c r="H29" s="28"/>
      <c r="I29" s="31">
        <f>SUM(E18:E28)</f>
        <v>0</v>
      </c>
      <c r="J29" s="135"/>
      <c r="K29" s="24"/>
      <c r="L29" s="124"/>
      <c r="M29" s="124"/>
      <c r="N29" s="24"/>
      <c r="O29" s="24"/>
    </row>
    <row r="30" spans="1:15" ht="12.75" customHeight="1" thickBot="1">
      <c r="A30" s="24"/>
      <c r="B30" s="23"/>
      <c r="C30" s="23"/>
      <c r="D30" s="24"/>
      <c r="E30" s="28"/>
      <c r="F30" s="28"/>
      <c r="G30" s="28"/>
      <c r="H30" s="28"/>
      <c r="I30" s="247"/>
      <c r="J30" s="24"/>
      <c r="K30" s="24"/>
      <c r="L30" s="124"/>
      <c r="M30" s="124"/>
      <c r="N30" s="24"/>
      <c r="O30" s="24"/>
    </row>
    <row r="31" spans="1:15" ht="15.75" customHeight="1">
      <c r="A31" s="248" t="s">
        <v>265</v>
      </c>
      <c r="B31" s="249"/>
      <c r="C31" s="249"/>
      <c r="D31" s="250"/>
      <c r="E31" s="178"/>
      <c r="F31" s="178"/>
      <c r="G31" s="178"/>
      <c r="H31" s="178"/>
      <c r="I31" s="251">
        <f>E15+I29</f>
        <v>0</v>
      </c>
      <c r="J31" s="24"/>
      <c r="K31" s="24"/>
      <c r="L31" s="124"/>
      <c r="M31" s="124"/>
      <c r="N31" s="24"/>
      <c r="O31" s="24"/>
    </row>
    <row r="32" spans="1:15" ht="12.75" customHeight="1">
      <c r="A32" s="179" t="s">
        <v>10</v>
      </c>
      <c r="B32" s="246"/>
      <c r="C32" s="85"/>
      <c r="D32" s="82"/>
      <c r="E32" s="82"/>
      <c r="F32" s="14"/>
      <c r="G32" s="14"/>
      <c r="H32" s="14"/>
      <c r="I32" s="252">
        <v>1</v>
      </c>
      <c r="J32" s="24"/>
      <c r="K32" s="24"/>
      <c r="L32" s="124"/>
      <c r="M32" s="124"/>
      <c r="N32" s="24"/>
      <c r="O32" s="24"/>
    </row>
    <row r="33" spans="1:15" ht="12.75" customHeight="1">
      <c r="A33" s="254" t="s">
        <v>118</v>
      </c>
      <c r="B33" s="255"/>
      <c r="C33" s="255"/>
      <c r="D33" s="255"/>
      <c r="E33" s="256"/>
      <c r="F33" s="256"/>
      <c r="G33" s="256"/>
      <c r="H33" s="256"/>
      <c r="I33" s="257"/>
      <c r="J33" s="24"/>
      <c r="K33" s="24"/>
      <c r="L33" s="24"/>
      <c r="M33" s="24"/>
      <c r="N33" s="24"/>
      <c r="O33" s="24"/>
    </row>
    <row r="34" spans="1:15" ht="12.75" customHeight="1">
      <c r="A34" s="258"/>
      <c r="B34" s="190" t="s">
        <v>2</v>
      </c>
      <c r="C34" s="190"/>
      <c r="D34" s="190"/>
      <c r="E34" s="259"/>
      <c r="F34" s="259"/>
      <c r="G34" s="259"/>
      <c r="H34" s="259"/>
      <c r="I34" s="241">
        <v>0</v>
      </c>
      <c r="J34" s="24"/>
      <c r="K34" s="24"/>
      <c r="L34" s="24"/>
      <c r="M34" s="24"/>
      <c r="N34" s="24"/>
      <c r="O34" s="24"/>
    </row>
    <row r="35" spans="1:15" ht="12.75" customHeight="1">
      <c r="A35" s="179" t="s">
        <v>51</v>
      </c>
      <c r="B35" s="85"/>
      <c r="C35" s="85"/>
      <c r="D35" s="85"/>
      <c r="E35" s="82"/>
      <c r="F35" s="82"/>
      <c r="G35" s="82"/>
      <c r="H35" s="82"/>
      <c r="I35" s="253"/>
      <c r="J35" s="24"/>
      <c r="K35" s="24"/>
      <c r="L35" s="24"/>
      <c r="M35" s="24"/>
      <c r="N35" s="24"/>
      <c r="O35" s="24"/>
    </row>
    <row r="36" spans="1:15" ht="12.75" customHeight="1">
      <c r="A36" s="179" t="s">
        <v>52</v>
      </c>
      <c r="B36" s="85"/>
      <c r="C36" s="85"/>
      <c r="D36" s="85"/>
      <c r="E36" s="82"/>
      <c r="F36" s="82"/>
      <c r="G36" s="82"/>
      <c r="H36" s="82"/>
      <c r="I36" s="253"/>
      <c r="J36" s="24"/>
      <c r="K36" s="24"/>
      <c r="L36" s="24"/>
      <c r="M36" s="24"/>
      <c r="N36" s="24"/>
      <c r="O36" s="24"/>
    </row>
    <row r="37" spans="1:15" ht="12.75" customHeight="1" thickBot="1">
      <c r="A37" s="180" t="s">
        <v>53</v>
      </c>
      <c r="B37" s="181"/>
      <c r="C37" s="181"/>
      <c r="D37" s="181"/>
      <c r="E37" s="55"/>
      <c r="F37" s="55"/>
      <c r="G37" s="55"/>
      <c r="H37" s="55"/>
      <c r="I37" s="182"/>
      <c r="J37" s="24"/>
      <c r="K37" s="24"/>
      <c r="L37" s="24"/>
      <c r="M37" s="24"/>
      <c r="N37" s="24"/>
      <c r="O37" s="24"/>
    </row>
    <row r="38" spans="1:15" ht="12.75" customHeight="1">
      <c r="A38" s="85"/>
      <c r="B38" s="85"/>
      <c r="C38" s="85"/>
      <c r="D38" s="14"/>
      <c r="E38" s="14"/>
      <c r="F38" s="14"/>
      <c r="G38" s="14"/>
      <c r="H38" s="14"/>
      <c r="I38" s="14"/>
      <c r="J38" s="24"/>
      <c r="K38" s="24"/>
      <c r="L38" s="24"/>
      <c r="M38" s="24"/>
      <c r="N38" s="24"/>
      <c r="O38" s="24"/>
    </row>
    <row r="39" spans="1:15" ht="12.75" customHeight="1">
      <c r="A39" s="24"/>
      <c r="B39" s="23"/>
      <c r="C39" s="23"/>
      <c r="D39" s="24"/>
      <c r="E39" s="24"/>
      <c r="F39" s="24"/>
      <c r="G39" s="24"/>
      <c r="H39" s="24"/>
      <c r="I39" s="24"/>
      <c r="J39" s="24"/>
      <c r="K39" s="24"/>
      <c r="L39" s="24"/>
      <c r="M39" s="24"/>
      <c r="N39" s="24"/>
      <c r="O39" s="24"/>
    </row>
    <row r="40" spans="1:15" ht="65.25" customHeight="1" thickBot="1">
      <c r="A40" s="23" t="s">
        <v>267</v>
      </c>
      <c r="B40" s="23"/>
      <c r="C40" s="23"/>
      <c r="D40" s="23"/>
      <c r="E40" s="25" t="s">
        <v>247</v>
      </c>
      <c r="F40" s="25"/>
      <c r="G40" s="25"/>
      <c r="H40" s="25"/>
      <c r="I40" s="331" t="s">
        <v>248</v>
      </c>
      <c r="J40" s="331" t="s">
        <v>274</v>
      </c>
      <c r="K40" s="331" t="s">
        <v>269</v>
      </c>
      <c r="L40" s="331" t="s">
        <v>273</v>
      </c>
      <c r="M40" s="332" t="s">
        <v>353</v>
      </c>
      <c r="N40" s="24"/>
      <c r="O40" s="24"/>
    </row>
    <row r="41" spans="1:15" ht="12.75" customHeight="1">
      <c r="A41" s="24"/>
      <c r="B41" s="23" t="s">
        <v>211</v>
      </c>
      <c r="C41" s="23"/>
      <c r="D41" s="24"/>
      <c r="E41" s="33">
        <f>IF(I41=0,0,I41/I50)</f>
        <v>0</v>
      </c>
      <c r="F41" s="24"/>
      <c r="G41" s="24"/>
      <c r="H41" s="24"/>
      <c r="I41" s="112"/>
      <c r="J41" s="24"/>
      <c r="K41" s="25"/>
      <c r="L41" s="24"/>
      <c r="M41" s="330"/>
      <c r="N41" s="24"/>
      <c r="O41" s="24"/>
    </row>
    <row r="42" spans="1:15" ht="12.75" customHeight="1">
      <c r="A42" s="24"/>
      <c r="B42" s="23" t="s">
        <v>272</v>
      </c>
      <c r="C42" s="23"/>
      <c r="D42" s="24"/>
      <c r="E42" s="33">
        <f>IF(I42=0,0,I42/I50)</f>
        <v>0</v>
      </c>
      <c r="F42" s="24"/>
      <c r="G42" s="24"/>
      <c r="H42" s="24"/>
      <c r="I42" s="112"/>
      <c r="J42" s="24"/>
      <c r="K42" s="24"/>
      <c r="L42" s="24"/>
      <c r="M42" s="330"/>
      <c r="N42" s="24"/>
      <c r="O42" s="24"/>
    </row>
    <row r="43" spans="1:15" ht="12.75" customHeight="1">
      <c r="A43" s="24"/>
      <c r="B43" s="23" t="s">
        <v>275</v>
      </c>
      <c r="C43" s="23"/>
      <c r="D43" s="24"/>
      <c r="E43" s="33"/>
      <c r="F43" s="24"/>
      <c r="G43" s="24"/>
      <c r="H43" s="24"/>
      <c r="I43" s="166"/>
      <c r="J43" s="24"/>
      <c r="K43" s="24"/>
      <c r="L43" s="24"/>
      <c r="M43" s="330"/>
      <c r="N43" s="24"/>
      <c r="O43" s="24"/>
    </row>
    <row r="44" spans="1:15" ht="12.75" customHeight="1">
      <c r="A44" s="24"/>
      <c r="B44" s="23"/>
      <c r="C44" s="334" t="s">
        <v>352</v>
      </c>
      <c r="D44" s="24"/>
      <c r="E44" s="33">
        <f>IF(I44=0,0,I44/I50)</f>
        <v>0</v>
      </c>
      <c r="F44" s="24"/>
      <c r="G44" s="24"/>
      <c r="H44" s="24"/>
      <c r="I44" s="333">
        <v>0</v>
      </c>
      <c r="J44" s="132">
        <v>3.7499999999999999E-2</v>
      </c>
      <c r="K44" s="123">
        <v>48</v>
      </c>
      <c r="L44" s="138">
        <f>ABS(PMT(J44/12,K44,I44))</f>
        <v>0</v>
      </c>
      <c r="M44" s="245">
        <v>1</v>
      </c>
      <c r="N44" s="24"/>
      <c r="O44" s="24"/>
    </row>
    <row r="45" spans="1:15" ht="12.75" customHeight="1">
      <c r="A45" s="24"/>
      <c r="B45" s="23"/>
      <c r="C45" s="23" t="s">
        <v>268</v>
      </c>
      <c r="D45" s="24"/>
      <c r="E45" s="33">
        <f>IF(I45=0,0,I45/I50)</f>
        <v>0</v>
      </c>
      <c r="F45" s="24"/>
      <c r="G45" s="24"/>
      <c r="H45" s="24"/>
      <c r="I45" s="412">
        <f>IF($I$31-(I41+I42+I46+I44+I47+I48)&gt;0,I31-(I41+I42+I44+I46+I47+I48),0)</f>
        <v>0</v>
      </c>
      <c r="J45" s="132">
        <v>7.0000000000000007E-2</v>
      </c>
      <c r="K45" s="123">
        <v>84</v>
      </c>
      <c r="L45" s="34">
        <f>ABS(PMT(J45/12,K45,I45))</f>
        <v>0</v>
      </c>
      <c r="M45" s="325"/>
      <c r="N45" s="24"/>
      <c r="O45" s="24"/>
    </row>
    <row r="46" spans="1:15" ht="12.75" customHeight="1">
      <c r="A46" s="24"/>
      <c r="B46" s="23"/>
      <c r="C46" s="23" t="s">
        <v>270</v>
      </c>
      <c r="D46" s="24"/>
      <c r="E46" s="33">
        <f>IF(I46=0,0,I46/I50)</f>
        <v>0</v>
      </c>
      <c r="F46" s="24"/>
      <c r="G46" s="24"/>
      <c r="H46" s="24"/>
      <c r="I46" s="413">
        <f>IF((E8+E9)&gt;0,IF((I31-I41+I42)&lt;(E8+E9)*0.8,I31-I41+I42,(E8+E9)*0.8),0)</f>
        <v>0</v>
      </c>
      <c r="J46" s="132">
        <v>0.08</v>
      </c>
      <c r="K46" s="123">
        <f>20*12</f>
        <v>240</v>
      </c>
      <c r="L46" s="138">
        <f>ABS(PMT(J46/12,K46,I46))</f>
        <v>0</v>
      </c>
      <c r="M46" s="24"/>
      <c r="N46" s="24"/>
      <c r="O46" s="24"/>
    </row>
    <row r="47" spans="1:15" ht="12.75" customHeight="1">
      <c r="A47" s="22"/>
      <c r="B47" s="23"/>
      <c r="C47" s="1" t="s">
        <v>100</v>
      </c>
      <c r="D47" s="24"/>
      <c r="E47" s="33">
        <f>IF(I47=0,0,I47/I50)</f>
        <v>0</v>
      </c>
      <c r="F47" s="24"/>
      <c r="G47" s="24"/>
      <c r="H47" s="24"/>
      <c r="I47" s="326"/>
      <c r="J47" s="132">
        <v>7.0000000000000007E-2</v>
      </c>
      <c r="K47" s="123">
        <v>60</v>
      </c>
      <c r="L47" s="138">
        <f>ABS(PMT(J47/12,K47,I47))</f>
        <v>0</v>
      </c>
      <c r="M47" s="24"/>
      <c r="N47" s="24"/>
      <c r="O47" s="24"/>
    </row>
    <row r="48" spans="1:15" ht="12.75" customHeight="1" thickBot="1">
      <c r="A48" s="24"/>
      <c r="B48" s="23"/>
      <c r="C48" s="1" t="s">
        <v>101</v>
      </c>
      <c r="D48" s="24"/>
      <c r="E48" s="33">
        <f>IF(I48=0,0,I48/I50)</f>
        <v>0</v>
      </c>
      <c r="F48" s="24"/>
      <c r="G48" s="24"/>
      <c r="H48" s="24"/>
      <c r="I48" s="327"/>
      <c r="J48" s="132">
        <v>0.06</v>
      </c>
      <c r="K48" s="123">
        <v>48</v>
      </c>
      <c r="L48" s="35">
        <f>ABS(PMT(J48/12,K48,I48))</f>
        <v>0</v>
      </c>
      <c r="M48" s="24"/>
      <c r="N48" s="24"/>
      <c r="O48" s="24"/>
    </row>
    <row r="49" spans="1:15" ht="12.75" customHeight="1">
      <c r="A49" s="24"/>
      <c r="B49" s="23"/>
      <c r="M49" s="24"/>
      <c r="N49" s="24"/>
      <c r="O49" s="24"/>
    </row>
    <row r="50" spans="1:15" ht="15.75" customHeight="1" thickBot="1">
      <c r="A50" s="23" t="s">
        <v>271</v>
      </c>
      <c r="B50" s="23"/>
      <c r="C50" s="23"/>
      <c r="D50" s="24"/>
      <c r="E50" s="36">
        <f>SUM(E41:E48)</f>
        <v>0</v>
      </c>
      <c r="F50" s="24"/>
      <c r="G50" s="24"/>
      <c r="H50" s="24"/>
      <c r="I50" s="139">
        <f>SUM(I41:I49)</f>
        <v>0</v>
      </c>
      <c r="J50" s="24"/>
      <c r="K50" s="24"/>
      <c r="L50" s="140">
        <f>L45+L46+L47+L48+L44</f>
        <v>0</v>
      </c>
      <c r="M50" s="24"/>
      <c r="N50" s="24"/>
      <c r="O50" s="24"/>
    </row>
    <row r="51" spans="1:15" s="7" customFormat="1" ht="12.75" customHeight="1" thickTop="1">
      <c r="A51" s="24"/>
      <c r="B51" s="23"/>
      <c r="C51" s="23"/>
      <c r="D51" s="24"/>
      <c r="E51" s="24"/>
      <c r="F51" s="24"/>
      <c r="G51" s="24"/>
      <c r="H51" s="24"/>
      <c r="I51" s="24"/>
      <c r="J51" s="24"/>
      <c r="K51" s="24"/>
      <c r="L51" s="24"/>
      <c r="M51" s="24"/>
      <c r="N51" s="24"/>
      <c r="O51" s="24"/>
    </row>
    <row r="52" spans="1:15" s="6" customFormat="1" ht="12.75" customHeight="1">
      <c r="A52" s="143" t="str">
        <f>IF(MAX('9. Cash Flow Statement'!E42:P42)&gt;0,"1st year additional funding as a line of credit is also required in the amount of","")</f>
        <v/>
      </c>
      <c r="B52" s="1"/>
      <c r="C52" s="1"/>
      <c r="D52" s="1"/>
      <c r="E52" s="1"/>
      <c r="F52" s="1"/>
      <c r="G52" s="1"/>
      <c r="H52" s="1"/>
      <c r="I52" s="144" t="str">
        <f>IF(MAX('9. Cash Flow Statement'!$E$42:$P$42)&gt;0,(MAX('9. Cash Flow Statement'!$E$42:$P$42)),"")</f>
        <v/>
      </c>
      <c r="J52" s="23"/>
      <c r="K52" s="23"/>
      <c r="L52" s="23"/>
      <c r="M52" s="23"/>
      <c r="N52" s="23"/>
      <c r="O52" s="23"/>
    </row>
    <row r="53" spans="1:15" ht="12.75" customHeight="1">
      <c r="A53" s="143" t="str">
        <f>IF(MAX('13. Cash Flow Statement (2)'!E42:P42)&gt;0," 2nd year additional funding as a line of credit is also required in the amount of","")</f>
        <v/>
      </c>
      <c r="B53" s="23"/>
      <c r="C53" s="23"/>
      <c r="D53" s="24"/>
      <c r="E53" s="24"/>
      <c r="F53" s="24"/>
      <c r="G53" s="24"/>
      <c r="H53" s="24"/>
      <c r="I53" s="144" t="str">
        <f>IF(MAX('13. Cash Flow Statement (2)'!$E$42:$P$42)&gt;0,(MAX('13. Cash Flow Statement (2)'!$E$42:$P$42)),"")</f>
        <v/>
      </c>
      <c r="J53" s="24"/>
      <c r="K53" s="24"/>
      <c r="L53" s="24"/>
      <c r="M53" s="24"/>
      <c r="N53" s="24"/>
      <c r="O53" s="24"/>
    </row>
    <row r="54" spans="1:15" ht="12.75" customHeight="1">
      <c r="A54" s="143" t="str">
        <f>IF(MAX('16. Cash Flow Statement (3)'!E42:P42)&gt;0,"3rd year additional funding as a line of credit is also required in the amount of","")</f>
        <v/>
      </c>
      <c r="B54" s="23"/>
      <c r="C54" s="23"/>
      <c r="D54" s="24"/>
      <c r="E54" s="24"/>
      <c r="F54" s="24"/>
      <c r="G54" s="24"/>
      <c r="H54" s="24"/>
      <c r="I54" s="144" t="str">
        <f>IF(MAX('16. Cash Flow Statement (3)'!$E$42:$P$42)&gt;0,(MAX('16. Cash Flow Statement (3)'!$E$42:$P$42)),"")</f>
        <v/>
      </c>
      <c r="J54" s="24"/>
      <c r="K54" s="24"/>
      <c r="L54" s="24"/>
      <c r="M54" s="24"/>
      <c r="N54" s="24"/>
      <c r="O54" s="24"/>
    </row>
    <row r="55" spans="1:15" ht="12.75" customHeight="1">
      <c r="A55" s="143"/>
      <c r="B55" s="23"/>
      <c r="C55" s="23"/>
      <c r="D55" s="24"/>
      <c r="E55" s="24"/>
      <c r="F55" s="24"/>
      <c r="G55" s="24"/>
      <c r="H55" s="24"/>
      <c r="I55" s="24"/>
      <c r="J55" s="24"/>
      <c r="K55" s="24"/>
      <c r="L55" s="24"/>
      <c r="M55" s="24"/>
      <c r="N55" s="24"/>
      <c r="O55" s="24"/>
    </row>
    <row r="56" spans="1:15" ht="12.75" customHeight="1">
      <c r="A56" s="24"/>
      <c r="B56" s="23"/>
      <c r="C56" s="23"/>
      <c r="D56" s="24"/>
      <c r="E56" s="24"/>
      <c r="F56" s="24"/>
      <c r="G56" s="24"/>
      <c r="H56" s="24"/>
      <c r="I56" s="24"/>
      <c r="J56" s="136" t="s">
        <v>105</v>
      </c>
      <c r="K56" s="22"/>
      <c r="L56" s="142"/>
      <c r="M56" s="142"/>
      <c r="N56" s="22"/>
      <c r="O56" s="24"/>
    </row>
    <row r="57" spans="1:15" ht="12.75" customHeight="1">
      <c r="A57" s="24"/>
      <c r="B57" s="23"/>
      <c r="C57" s="23"/>
      <c r="D57" s="24"/>
      <c r="E57" s="24"/>
      <c r="F57" s="24"/>
      <c r="G57" s="24"/>
      <c r="H57" s="24"/>
      <c r="I57" s="24"/>
      <c r="J57" s="136" t="s">
        <v>104</v>
      </c>
      <c r="K57" s="22"/>
      <c r="L57" s="142"/>
      <c r="M57" s="142"/>
      <c r="N57" s="22"/>
      <c r="O57" s="24"/>
    </row>
    <row r="58" spans="1:15" ht="12.75" customHeight="1">
      <c r="A58" s="24"/>
      <c r="B58" s="23"/>
      <c r="C58" s="23"/>
      <c r="D58" s="24"/>
      <c r="E58" s="24"/>
      <c r="F58" s="24"/>
      <c r="G58" s="24"/>
      <c r="H58" s="24"/>
      <c r="I58" s="24"/>
      <c r="J58" s="24"/>
      <c r="K58" s="24"/>
      <c r="L58" s="24"/>
      <c r="M58" s="24"/>
      <c r="N58" s="24"/>
      <c r="O58" s="24"/>
    </row>
    <row r="59" spans="1:15" ht="12.75" customHeight="1">
      <c r="A59" s="24"/>
      <c r="B59" s="23"/>
      <c r="C59" s="23"/>
      <c r="D59" s="24"/>
      <c r="E59" s="24"/>
      <c r="F59" s="24"/>
      <c r="G59" s="24"/>
      <c r="H59" s="24"/>
      <c r="I59" s="24"/>
      <c r="J59" s="24"/>
      <c r="K59" s="24"/>
      <c r="L59" s="24"/>
      <c r="M59" s="24"/>
      <c r="N59" s="24"/>
      <c r="O59" s="24"/>
    </row>
  </sheetData>
  <phoneticPr fontId="4" type="noConversion"/>
  <pageMargins left="0.75" right="0.75" top="1" bottom="1" header="0.5" footer="0.5"/>
  <pageSetup scale="75" orientation="landscape" blackAndWhite="1" horizontalDpi="300" verticalDpi="300"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90"/>
  <sheetViews>
    <sheetView showGridLines="0" zoomScale="80" zoomScaleNormal="80" workbookViewId="0"/>
  </sheetViews>
  <sheetFormatPr defaultColWidth="8.85546875" defaultRowHeight="12"/>
  <cols>
    <col min="1" max="3" width="3" style="6" customWidth="1"/>
    <col min="4" max="4" width="22.85546875" style="1" customWidth="1"/>
    <col min="5" max="5" width="10.85546875" style="1" customWidth="1"/>
    <col min="6" max="6" width="20.85546875" style="1" customWidth="1"/>
    <col min="7" max="7" width="8.85546875" style="1" customWidth="1"/>
    <col min="8" max="8" width="10.85546875" style="1" customWidth="1"/>
    <col min="9" max="9" width="20.85546875" style="1" customWidth="1"/>
    <col min="10" max="10" width="8.85546875" style="1" customWidth="1"/>
    <col min="11" max="17" width="10.85546875" customWidth="1"/>
    <col min="18" max="18" width="15.85546875" customWidth="1"/>
  </cols>
  <sheetData>
    <row r="1" spans="1:18" ht="15.75">
      <c r="A1" s="5" t="str">
        <f>+'16. Cash Flow Statement (3)'!A1</f>
        <v xml:space="preserve"> </v>
      </c>
    </row>
    <row r="2" spans="1:18" ht="15.75">
      <c r="A2" s="5" t="s">
        <v>61</v>
      </c>
    </row>
    <row r="3" spans="1:18" ht="12.75" customHeight="1">
      <c r="A3" s="1"/>
      <c r="B3" s="1"/>
      <c r="C3" s="1"/>
      <c r="K3" s="37"/>
      <c r="L3" s="37"/>
      <c r="M3" s="37"/>
      <c r="N3" s="37"/>
      <c r="O3" s="37"/>
      <c r="P3" s="37"/>
      <c r="Q3" s="7"/>
      <c r="R3" s="7"/>
    </row>
    <row r="4" spans="1:18" ht="12.75" customHeight="1" thickBot="1">
      <c r="A4" s="1"/>
      <c r="B4" s="1"/>
      <c r="C4" s="1"/>
      <c r="E4" s="83"/>
      <c r="F4" s="40" t="s">
        <v>38</v>
      </c>
      <c r="G4" s="84"/>
      <c r="H4" s="83"/>
      <c r="I4" s="40" t="s">
        <v>37</v>
      </c>
      <c r="K4" s="37"/>
      <c r="L4" s="37"/>
      <c r="M4" s="37"/>
      <c r="N4" s="37"/>
      <c r="O4" s="37"/>
      <c r="P4" s="37"/>
      <c r="Q4" s="7"/>
      <c r="R4" s="7"/>
    </row>
    <row r="5" spans="1:18" ht="12.75" customHeight="1" thickTop="1">
      <c r="A5" s="85"/>
      <c r="B5" s="85"/>
      <c r="C5" s="85"/>
      <c r="D5" s="85"/>
      <c r="E5" s="85"/>
      <c r="F5" s="85"/>
      <c r="G5" s="85"/>
      <c r="H5" s="85"/>
      <c r="I5" s="85"/>
      <c r="K5" s="37"/>
      <c r="L5" s="37"/>
      <c r="M5" s="37"/>
      <c r="N5" s="37"/>
      <c r="O5" s="37"/>
      <c r="P5" s="37"/>
      <c r="Q5" s="7"/>
      <c r="R5" s="7"/>
    </row>
    <row r="6" spans="1:18" ht="12.75" customHeight="1">
      <c r="A6" s="85" t="s">
        <v>195</v>
      </c>
      <c r="B6" s="85"/>
      <c r="C6" s="85"/>
      <c r="D6" s="85"/>
      <c r="E6" s="85"/>
      <c r="F6" s="280"/>
      <c r="G6" s="280"/>
      <c r="H6" s="280"/>
      <c r="I6" s="280"/>
      <c r="J6" s="84"/>
      <c r="K6" s="83"/>
      <c r="L6" s="83"/>
      <c r="M6" s="83"/>
      <c r="N6" s="83"/>
      <c r="O6" s="83"/>
      <c r="P6" s="83"/>
      <c r="Q6" s="15"/>
      <c r="R6" s="15"/>
    </row>
    <row r="7" spans="1:18" ht="12.75" customHeight="1">
      <c r="A7" s="85"/>
      <c r="B7" s="85" t="s">
        <v>196</v>
      </c>
      <c r="C7" s="85"/>
      <c r="D7" s="85"/>
      <c r="E7" s="85"/>
      <c r="F7" s="280"/>
      <c r="G7" s="280"/>
      <c r="H7" s="280"/>
      <c r="I7" s="280"/>
      <c r="J7" s="85"/>
      <c r="K7" s="82"/>
      <c r="L7" s="82"/>
      <c r="M7" s="82"/>
      <c r="N7" s="82"/>
      <c r="O7" s="82"/>
      <c r="P7" s="82"/>
      <c r="Q7" s="17"/>
      <c r="R7" s="17"/>
    </row>
    <row r="8" spans="1:18" ht="12.75" customHeight="1">
      <c r="A8" s="85"/>
      <c r="B8" s="85"/>
      <c r="C8" s="85" t="s">
        <v>197</v>
      </c>
      <c r="D8" s="85"/>
      <c r="E8" s="85"/>
      <c r="F8" s="280">
        <f>'14. Balance Sheet (2)'!I8</f>
        <v>0</v>
      </c>
      <c r="G8" s="280"/>
      <c r="H8" s="280"/>
      <c r="I8" s="280">
        <f>'16. Cash Flow Statement (3)'!P39</f>
        <v>0</v>
      </c>
      <c r="J8" s="85"/>
      <c r="K8" s="82"/>
      <c r="L8" s="82"/>
      <c r="M8" s="82"/>
      <c r="N8" s="82"/>
      <c r="O8" s="82"/>
      <c r="P8" s="82"/>
      <c r="Q8" s="17"/>
      <c r="R8" s="17"/>
    </row>
    <row r="9" spans="1:18" ht="12.75" customHeight="1">
      <c r="A9" s="85"/>
      <c r="B9" s="85"/>
      <c r="C9" s="85" t="s">
        <v>179</v>
      </c>
      <c r="D9" s="85"/>
      <c r="E9" s="85"/>
      <c r="F9" s="280">
        <f>'14. Balance Sheet (2)'!I9</f>
        <v>0</v>
      </c>
      <c r="G9" s="280"/>
      <c r="H9" s="280"/>
      <c r="I9" s="280">
        <f>F9+'15. Income Statement (3)'!Q16-'16. Cash Flow Statement (3)'!Q15</f>
        <v>0</v>
      </c>
      <c r="J9" s="85"/>
      <c r="K9" s="82"/>
      <c r="L9" s="82"/>
      <c r="M9" s="82"/>
      <c r="N9" s="82"/>
      <c r="O9" s="82"/>
      <c r="P9" s="82"/>
      <c r="Q9" s="17"/>
      <c r="R9" s="17"/>
    </row>
    <row r="10" spans="1:18" ht="12.75" customHeight="1">
      <c r="A10" s="85"/>
      <c r="B10" s="85"/>
      <c r="C10" s="85" t="s">
        <v>199</v>
      </c>
      <c r="D10" s="85"/>
      <c r="E10" s="85"/>
      <c r="F10" s="280">
        <f>'14. Balance Sheet (2)'!I10</f>
        <v>0</v>
      </c>
      <c r="G10" s="280"/>
      <c r="H10" s="280"/>
      <c r="I10" s="280">
        <f>+'16. Cash Flow Statement (3)'!P53</f>
        <v>0</v>
      </c>
      <c r="J10" s="85"/>
      <c r="K10" s="82"/>
      <c r="L10" s="82"/>
      <c r="M10" s="82"/>
      <c r="N10" s="82"/>
      <c r="O10" s="82"/>
      <c r="P10" s="82"/>
      <c r="Q10" s="17"/>
      <c r="R10" s="17"/>
    </row>
    <row r="11" spans="1:18" ht="12.75" customHeight="1">
      <c r="A11" s="85"/>
      <c r="B11" s="85"/>
      <c r="C11" s="85" t="s">
        <v>200</v>
      </c>
      <c r="D11" s="85"/>
      <c r="E11" s="85"/>
      <c r="F11" s="280">
        <f>'14. Balance Sheet (2)'!I11</f>
        <v>0</v>
      </c>
      <c r="G11" s="280"/>
      <c r="H11" s="280"/>
      <c r="I11" s="280">
        <f>IF(F11='7. Beginning Balance Sheet'!F14,'7. Beginning Balance Sheet'!F14,'17. Balance Sheet (3)'!F11-'6. Cash Receipts-Disbursements'!J26)</f>
        <v>0</v>
      </c>
      <c r="J11" s="85"/>
      <c r="K11" s="82"/>
      <c r="L11" s="82"/>
      <c r="M11" s="82"/>
      <c r="N11" s="82"/>
      <c r="O11" s="82"/>
      <c r="P11" s="82"/>
      <c r="Q11" s="17"/>
      <c r="R11" s="17"/>
    </row>
    <row r="12" spans="1:18" ht="12.75" customHeight="1" thickBot="1">
      <c r="A12" s="85"/>
      <c r="B12" s="85"/>
      <c r="C12" s="85" t="s">
        <v>201</v>
      </c>
      <c r="D12" s="85"/>
      <c r="E12" s="85"/>
      <c r="F12" s="281">
        <f>'14. Balance Sheet (2)'!I12</f>
        <v>0</v>
      </c>
      <c r="G12" s="280"/>
      <c r="H12" s="280"/>
      <c r="I12" s="281">
        <f>IF(F12='7. Beginning Balance Sheet'!F14,'7. Beginning Balance Sheet'!F14,'17. Balance Sheet (3)'!F12-'6. Cash Receipts-Disbursements'!J27)</f>
        <v>0</v>
      </c>
      <c r="J12" s="85"/>
      <c r="K12" s="82"/>
      <c r="L12" s="82"/>
      <c r="M12" s="82"/>
      <c r="N12" s="82"/>
      <c r="O12" s="82"/>
      <c r="P12" s="82"/>
      <c r="Q12" s="17"/>
      <c r="R12" s="17"/>
    </row>
    <row r="13" spans="1:18" ht="12.75" customHeight="1">
      <c r="A13" s="85"/>
      <c r="B13" s="85" t="s">
        <v>202</v>
      </c>
      <c r="C13" s="85"/>
      <c r="D13" s="85"/>
      <c r="E13" s="280"/>
      <c r="F13" s="280">
        <f>SUM(F8:F12)</f>
        <v>0</v>
      </c>
      <c r="G13" s="280"/>
      <c r="H13" s="280"/>
      <c r="I13" s="280">
        <f>SUM(I8:I12)</f>
        <v>0</v>
      </c>
      <c r="J13" s="85"/>
      <c r="K13" s="82"/>
      <c r="L13" s="82"/>
      <c r="M13" s="82"/>
      <c r="N13" s="82"/>
      <c r="O13" s="82"/>
      <c r="P13" s="82"/>
      <c r="Q13" s="17"/>
      <c r="R13" s="17"/>
    </row>
    <row r="14" spans="1:18" ht="12.75" customHeight="1">
      <c r="A14" s="85"/>
      <c r="B14" s="1"/>
      <c r="C14" s="1"/>
      <c r="D14" s="85"/>
      <c r="E14" s="280"/>
      <c r="F14" s="280"/>
      <c r="G14" s="280"/>
      <c r="H14" s="280"/>
      <c r="I14" s="280"/>
      <c r="J14" s="85"/>
      <c r="K14" s="82"/>
      <c r="L14" s="82"/>
      <c r="M14" s="82"/>
      <c r="N14" s="82"/>
      <c r="O14" s="82"/>
      <c r="P14" s="82"/>
      <c r="Q14" s="17"/>
      <c r="R14" s="17"/>
    </row>
    <row r="15" spans="1:18" ht="12.75" customHeight="1">
      <c r="A15" s="85"/>
      <c r="B15" s="1" t="s">
        <v>251</v>
      </c>
      <c r="C15" s="85"/>
      <c r="D15" s="85"/>
      <c r="E15" s="148"/>
      <c r="F15" s="280"/>
      <c r="G15" s="280"/>
      <c r="H15" s="280"/>
      <c r="I15" s="280"/>
      <c r="J15" s="280"/>
      <c r="K15" s="86"/>
      <c r="L15" s="86"/>
      <c r="M15" s="86"/>
      <c r="N15" s="86"/>
      <c r="O15" s="86"/>
      <c r="P15" s="86"/>
      <c r="Q15" s="18"/>
      <c r="R15" s="18"/>
    </row>
    <row r="16" spans="1:18" ht="12.75" customHeight="1">
      <c r="A16" s="85"/>
      <c r="B16" s="85"/>
      <c r="C16" s="85" t="str">
        <f>'1. Required Start-Up Funds'!C8</f>
        <v>Real Estate-Land</v>
      </c>
      <c r="D16" s="85"/>
      <c r="E16" s="148"/>
      <c r="F16" s="280">
        <f>'14. Balance Sheet (2)'!I16</f>
        <v>0</v>
      </c>
      <c r="G16" s="280"/>
      <c r="H16" s="280"/>
      <c r="I16" s="280">
        <f>F16+'1. Required Start-Up Funds'!H8</f>
        <v>0</v>
      </c>
      <c r="J16" s="280"/>
      <c r="K16" s="86"/>
      <c r="L16" s="86"/>
      <c r="M16" s="86"/>
      <c r="N16" s="86"/>
      <c r="O16" s="86"/>
      <c r="P16" s="86"/>
      <c r="Q16" s="18"/>
      <c r="R16" s="18"/>
    </row>
    <row r="17" spans="1:18" ht="12.75" customHeight="1">
      <c r="A17" s="85"/>
      <c r="B17" s="85"/>
      <c r="C17" s="85" t="str">
        <f>'1. Required Start-Up Funds'!C9</f>
        <v>Buildings</v>
      </c>
      <c r="D17" s="85"/>
      <c r="E17" s="280"/>
      <c r="F17" s="280">
        <f>'14. Balance Sheet (2)'!I17</f>
        <v>0</v>
      </c>
      <c r="G17" s="280"/>
      <c r="H17" s="280"/>
      <c r="I17" s="280">
        <f>F17+'1. Required Start-Up Funds'!H9</f>
        <v>0</v>
      </c>
      <c r="J17" s="148"/>
      <c r="K17" s="87"/>
      <c r="L17" s="87"/>
      <c r="M17" s="87"/>
      <c r="N17" s="87"/>
      <c r="O17" s="87"/>
      <c r="P17" s="87"/>
      <c r="Q17" s="19"/>
      <c r="R17" s="19"/>
    </row>
    <row r="18" spans="1:18" ht="12.75" customHeight="1">
      <c r="A18" s="85"/>
      <c r="B18" s="85"/>
      <c r="C18" s="85" t="str">
        <f>'1. Required Start-Up Funds'!C10</f>
        <v>Leasehold Improvements</v>
      </c>
      <c r="D18" s="85"/>
      <c r="E18" s="280"/>
      <c r="F18" s="280">
        <f>'14. Balance Sheet (2)'!I18</f>
        <v>0</v>
      </c>
      <c r="G18" s="280"/>
      <c r="H18" s="280"/>
      <c r="I18" s="280">
        <f>F18+'1. Required Start-Up Funds'!H10</f>
        <v>0</v>
      </c>
      <c r="J18" s="148"/>
      <c r="K18" s="87"/>
      <c r="L18" s="87"/>
      <c r="M18" s="87"/>
      <c r="N18" s="87"/>
      <c r="O18" s="87"/>
      <c r="P18" s="87"/>
      <c r="Q18" s="19"/>
      <c r="R18" s="19"/>
    </row>
    <row r="19" spans="1:18" ht="12.75" customHeight="1">
      <c r="A19" s="85"/>
      <c r="B19" s="85"/>
      <c r="C19" s="85" t="str">
        <f>'1. Required Start-Up Funds'!C11</f>
        <v>Equipment</v>
      </c>
      <c r="D19" s="85"/>
      <c r="E19" s="148"/>
      <c r="F19" s="280">
        <f>'14. Balance Sheet (2)'!I19</f>
        <v>0</v>
      </c>
      <c r="G19" s="280"/>
      <c r="H19" s="280"/>
      <c r="I19" s="280">
        <f>F19+'1. Required Start-Up Funds'!H11</f>
        <v>0</v>
      </c>
      <c r="J19" s="280"/>
      <c r="K19" s="86"/>
      <c r="L19" s="86"/>
      <c r="M19" s="86"/>
      <c r="N19" s="86"/>
      <c r="O19" s="86"/>
      <c r="P19" s="86"/>
      <c r="Q19" s="18"/>
      <c r="R19" s="18"/>
    </row>
    <row r="20" spans="1:18" ht="12.75" customHeight="1">
      <c r="A20" s="85"/>
      <c r="B20" s="85"/>
      <c r="C20" s="85" t="str">
        <f>'1. Required Start-Up Funds'!C12</f>
        <v>Furniture and Fixtures</v>
      </c>
      <c r="D20" s="85"/>
      <c r="E20" s="148"/>
      <c r="F20" s="280">
        <f>'14. Balance Sheet (2)'!I20</f>
        <v>0</v>
      </c>
      <c r="G20" s="280"/>
      <c r="H20" s="280"/>
      <c r="I20" s="280">
        <f>F20+'1. Required Start-Up Funds'!H12</f>
        <v>0</v>
      </c>
      <c r="J20" s="280"/>
      <c r="K20" s="86"/>
      <c r="L20" s="86"/>
      <c r="M20" s="86"/>
      <c r="N20" s="86"/>
      <c r="O20" s="86"/>
      <c r="P20" s="86"/>
      <c r="Q20" s="18"/>
      <c r="R20" s="18"/>
    </row>
    <row r="21" spans="1:18" ht="12.75" customHeight="1">
      <c r="A21" s="85"/>
      <c r="B21" s="85"/>
      <c r="C21" s="85" t="str">
        <f>'1. Required Start-Up Funds'!C13</f>
        <v>Vehicles</v>
      </c>
      <c r="D21" s="85"/>
      <c r="E21" s="148"/>
      <c r="F21" s="280">
        <f>'14. Balance Sheet (2)'!I21</f>
        <v>0</v>
      </c>
      <c r="G21" s="280"/>
      <c r="H21" s="280"/>
      <c r="I21" s="280">
        <f>F21+'1. Required Start-Up Funds'!H13</f>
        <v>0</v>
      </c>
      <c r="J21" s="148"/>
      <c r="K21" s="87"/>
      <c r="L21" s="87"/>
      <c r="M21" s="87"/>
      <c r="N21" s="87"/>
      <c r="O21" s="87"/>
      <c r="P21" s="87"/>
      <c r="Q21" s="19"/>
      <c r="R21" s="19"/>
    </row>
    <row r="22" spans="1:18" ht="12.75" customHeight="1" thickBot="1">
      <c r="A22" s="85"/>
      <c r="B22" s="85"/>
      <c r="C22" s="85" t="str">
        <f>'1. Required Start-Up Funds'!C14</f>
        <v>Other Fixed Assets</v>
      </c>
      <c r="D22" s="85"/>
      <c r="E22" s="280"/>
      <c r="F22" s="281">
        <f>'14. Balance Sheet (2)'!I22</f>
        <v>0</v>
      </c>
      <c r="G22" s="280"/>
      <c r="H22" s="280"/>
      <c r="I22" s="281">
        <f>F22+'1. Required Start-Up Funds'!H14</f>
        <v>0</v>
      </c>
      <c r="J22" s="148"/>
      <c r="K22" s="87"/>
      <c r="L22" s="87"/>
      <c r="M22" s="87"/>
      <c r="N22" s="87"/>
      <c r="O22" s="87"/>
      <c r="P22" s="87"/>
      <c r="Q22" s="19"/>
      <c r="R22" s="19"/>
    </row>
    <row r="23" spans="1:18" ht="12.75" customHeight="1">
      <c r="A23" s="85"/>
      <c r="B23" s="85" t="s">
        <v>258</v>
      </c>
      <c r="C23" s="85"/>
      <c r="D23" s="85"/>
      <c r="E23" s="280"/>
      <c r="F23" s="280">
        <f>SUM(F16:F22)</f>
        <v>0</v>
      </c>
      <c r="G23" s="280"/>
      <c r="H23" s="280"/>
      <c r="I23" s="280">
        <f>SUM(I16:I22)</f>
        <v>0</v>
      </c>
      <c r="J23" s="148"/>
      <c r="K23" s="87"/>
      <c r="L23" s="87"/>
      <c r="M23" s="87"/>
      <c r="N23" s="87"/>
      <c r="O23" s="87"/>
      <c r="P23" s="87"/>
      <c r="Q23" s="19"/>
      <c r="R23" s="19"/>
    </row>
    <row r="24" spans="1:18" ht="12.75" customHeight="1">
      <c r="A24" s="1"/>
      <c r="B24" s="1" t="s">
        <v>203</v>
      </c>
      <c r="C24" s="1"/>
      <c r="E24" s="85"/>
      <c r="F24" s="280">
        <f>'14. Balance Sheet (2)'!I24</f>
        <v>0</v>
      </c>
      <c r="G24" s="280"/>
      <c r="H24" s="280"/>
      <c r="I24" s="280">
        <f>F24+'15. Income Statement (3)'!Q65</f>
        <v>0</v>
      </c>
      <c r="J24" s="280"/>
      <c r="K24" s="86"/>
      <c r="L24" s="86"/>
      <c r="M24" s="86"/>
      <c r="N24" s="86"/>
      <c r="O24" s="86"/>
      <c r="P24" s="86"/>
      <c r="Q24" s="18"/>
      <c r="R24" s="18"/>
    </row>
    <row r="25" spans="1:18" ht="12.75" customHeight="1" thickBot="1">
      <c r="A25" s="1"/>
      <c r="B25" s="1"/>
      <c r="C25" s="1"/>
      <c r="E25" s="85"/>
      <c r="F25" s="281"/>
      <c r="G25" s="280"/>
      <c r="H25" s="280"/>
      <c r="I25" s="281"/>
      <c r="J25" s="148"/>
      <c r="K25" s="87"/>
      <c r="L25" s="87"/>
      <c r="M25" s="87"/>
      <c r="N25" s="87"/>
      <c r="O25" s="87"/>
      <c r="P25" s="87"/>
      <c r="Q25" s="19"/>
      <c r="R25" s="19"/>
    </row>
    <row r="26" spans="1:18" ht="12.75" customHeight="1" thickBot="1">
      <c r="A26" s="1" t="s">
        <v>204</v>
      </c>
      <c r="B26" s="1"/>
      <c r="C26" s="1"/>
      <c r="E26" s="85"/>
      <c r="F26" s="282">
        <f>INT(F13+F23-F24)</f>
        <v>0</v>
      </c>
      <c r="G26" s="280"/>
      <c r="H26" s="280"/>
      <c r="I26" s="282">
        <f>INT(I13+I23-I24)</f>
        <v>0</v>
      </c>
      <c r="J26" s="85"/>
      <c r="K26" s="82"/>
      <c r="L26" s="82"/>
      <c r="M26" s="82"/>
      <c r="N26" s="82"/>
      <c r="O26" s="82"/>
      <c r="P26" s="82"/>
      <c r="Q26" s="17"/>
      <c r="R26" s="17"/>
    </row>
    <row r="27" spans="1:18" ht="12.75" customHeight="1" thickTop="1">
      <c r="A27" s="1"/>
      <c r="B27" s="1"/>
      <c r="C27" s="1"/>
      <c r="E27" s="85"/>
      <c r="F27" s="280"/>
      <c r="G27" s="280"/>
      <c r="H27" s="280"/>
      <c r="I27" s="280"/>
      <c r="J27" s="85"/>
      <c r="K27" s="82"/>
      <c r="L27" s="82"/>
      <c r="M27" s="82"/>
      <c r="N27" s="82"/>
      <c r="O27" s="82"/>
      <c r="P27" s="82"/>
      <c r="Q27" s="17"/>
      <c r="R27" s="17"/>
    </row>
    <row r="28" spans="1:18" ht="12.75" customHeight="1">
      <c r="A28" s="1" t="s">
        <v>205</v>
      </c>
      <c r="B28" s="1"/>
      <c r="C28" s="1"/>
      <c r="E28" s="85"/>
      <c r="F28" s="280"/>
      <c r="G28" s="280"/>
      <c r="H28" s="280"/>
      <c r="I28" s="280"/>
      <c r="J28" s="85"/>
      <c r="K28" s="82"/>
      <c r="L28" s="82"/>
      <c r="M28" s="82"/>
      <c r="N28" s="82"/>
      <c r="O28" s="82"/>
      <c r="P28" s="82"/>
      <c r="Q28" s="17"/>
      <c r="R28" s="17"/>
    </row>
    <row r="29" spans="1:18" ht="12.75" customHeight="1">
      <c r="A29" s="1"/>
      <c r="B29" s="1" t="s">
        <v>209</v>
      </c>
      <c r="C29" s="1"/>
      <c r="E29" s="85"/>
      <c r="F29" s="280"/>
      <c r="G29" s="280"/>
      <c r="H29" s="280"/>
      <c r="I29" s="280"/>
      <c r="J29" s="85"/>
      <c r="K29" s="82"/>
      <c r="L29" s="82"/>
      <c r="M29" s="82"/>
      <c r="N29" s="82"/>
      <c r="O29" s="82"/>
      <c r="P29" s="82"/>
      <c r="Q29" s="17"/>
      <c r="R29" s="17"/>
    </row>
    <row r="30" spans="1:18" ht="12.75" customHeight="1">
      <c r="A30" s="1"/>
      <c r="B30" s="1"/>
      <c r="C30" s="1" t="s">
        <v>206</v>
      </c>
      <c r="E30" s="280"/>
      <c r="F30" s="280">
        <f>'14. Balance Sheet (2)'!I30</f>
        <v>0</v>
      </c>
      <c r="G30" s="280"/>
      <c r="H30" s="280"/>
      <c r="I30" s="280">
        <f>F30+'15. Income Statement (3)'!Q26-'16. Cash Flow Statement (3)'!Q21</f>
        <v>0</v>
      </c>
      <c r="J30" s="85"/>
      <c r="K30" s="82"/>
      <c r="L30" s="82"/>
      <c r="M30" s="82"/>
      <c r="N30" s="82"/>
      <c r="O30" s="82"/>
      <c r="P30" s="82"/>
      <c r="Q30" s="17"/>
      <c r="R30" s="17"/>
    </row>
    <row r="31" spans="1:18" ht="12.75" customHeight="1">
      <c r="A31" s="1"/>
      <c r="B31" s="1"/>
      <c r="C31" s="1" t="s">
        <v>207</v>
      </c>
      <c r="E31" s="148"/>
      <c r="F31" s="280">
        <f>'14. Balance Sheet (2)'!I31</f>
        <v>0</v>
      </c>
      <c r="G31" s="280"/>
      <c r="H31" s="280"/>
      <c r="I31" s="280">
        <f>'20. Debt Amoritization Schedule'!R25+'7. Beginning Balance Sheet'!F36</f>
        <v>0</v>
      </c>
      <c r="J31" s="85"/>
      <c r="K31" s="82"/>
      <c r="L31" s="82"/>
      <c r="M31" s="82"/>
      <c r="N31" s="82"/>
      <c r="O31" s="82"/>
      <c r="P31" s="82"/>
      <c r="Q31" s="17"/>
      <c r="R31" s="17"/>
    </row>
    <row r="32" spans="1:18" ht="12.75" customHeight="1">
      <c r="A32" s="1"/>
      <c r="B32" s="1"/>
      <c r="C32" s="1" t="str">
        <f>+'1. Required Start-Up Funds'!$C$46</f>
        <v>Commercial Mortgage</v>
      </c>
      <c r="E32" s="85"/>
      <c r="F32" s="280">
        <f>'14. Balance Sheet (2)'!I32</f>
        <v>0</v>
      </c>
      <c r="G32" s="280"/>
      <c r="H32" s="280"/>
      <c r="I32" s="280">
        <f>'20. Debt Amoritization Schedule'!R45+'7. Beginning Balance Sheet'!F37</f>
        <v>0</v>
      </c>
      <c r="J32" s="280"/>
      <c r="K32" s="86"/>
      <c r="L32" s="86"/>
      <c r="M32" s="86"/>
      <c r="N32" s="86"/>
      <c r="O32" s="86"/>
      <c r="P32" s="86"/>
      <c r="Q32" s="18"/>
      <c r="R32" s="18"/>
    </row>
    <row r="33" spans="1:18" ht="12.75" customHeight="1">
      <c r="A33" s="1"/>
      <c r="B33" s="1"/>
      <c r="C33" s="1" t="str">
        <f>+'1. Required Start-Up Funds'!$C$47</f>
        <v>Credit Card Debt</v>
      </c>
      <c r="E33" s="85"/>
      <c r="F33" s="280">
        <f>'14. Balance Sheet (2)'!I33</f>
        <v>0</v>
      </c>
      <c r="G33" s="280"/>
      <c r="H33" s="280"/>
      <c r="I33" s="280">
        <f>'20. Debt Amoritization Schedule'!R65+'7. Beginning Balance Sheet'!F38</f>
        <v>0</v>
      </c>
      <c r="J33" s="148"/>
      <c r="K33" s="87"/>
      <c r="L33" s="87"/>
      <c r="M33" s="87"/>
      <c r="N33" s="87"/>
      <c r="O33" s="87"/>
      <c r="P33" s="87"/>
      <c r="Q33" s="19"/>
      <c r="R33" s="17"/>
    </row>
    <row r="34" spans="1:18" ht="12.75" customHeight="1">
      <c r="A34" s="1"/>
      <c r="B34" s="1"/>
      <c r="C34" s="1" t="str">
        <f>+'1. Required Start-Up Funds'!$C$48</f>
        <v>Vehicle Loans</v>
      </c>
      <c r="E34" s="85"/>
      <c r="F34" s="280">
        <f>'14. Balance Sheet (2)'!I34</f>
        <v>0</v>
      </c>
      <c r="G34" s="280"/>
      <c r="H34" s="280"/>
      <c r="I34" s="280">
        <f>'20. Debt Amoritization Schedule'!R85+'7. Beginning Balance Sheet'!F39</f>
        <v>0</v>
      </c>
      <c r="J34" s="85"/>
      <c r="K34" s="82"/>
      <c r="L34" s="82"/>
      <c r="M34" s="82"/>
      <c r="N34" s="82"/>
      <c r="O34" s="82"/>
      <c r="P34" s="82"/>
      <c r="Q34" s="17"/>
      <c r="R34" s="17"/>
    </row>
    <row r="35" spans="1:18" ht="12.75" customHeight="1">
      <c r="A35" s="1"/>
      <c r="B35" s="1"/>
      <c r="C35" s="1" t="str">
        <f>+'1. Required Start-Up Funds'!$C$44</f>
        <v>Other Debt</v>
      </c>
      <c r="E35" s="85"/>
      <c r="F35" s="280">
        <f>'14. Balance Sheet (2)'!I35</f>
        <v>0</v>
      </c>
      <c r="G35" s="280"/>
      <c r="H35" s="280"/>
      <c r="I35" s="280">
        <f>'20. Debt Amoritization Schedule'!R105+'7. Beginning Balance Sheet'!F40</f>
        <v>0</v>
      </c>
      <c r="J35" s="85"/>
      <c r="K35" s="82"/>
      <c r="L35" s="82"/>
      <c r="M35" s="82"/>
      <c r="N35" s="82"/>
      <c r="O35" s="82"/>
      <c r="P35" s="82"/>
      <c r="Q35" s="17"/>
      <c r="R35" s="17"/>
    </row>
    <row r="36" spans="1:18" ht="12.75" customHeight="1" thickBot="1">
      <c r="A36" s="1"/>
      <c r="B36" s="1"/>
      <c r="C36" s="1" t="s">
        <v>194</v>
      </c>
      <c r="E36" s="85"/>
      <c r="F36" s="281">
        <f>'14. Balance Sheet (2)'!I36</f>
        <v>0</v>
      </c>
      <c r="G36" s="280"/>
      <c r="H36" s="280"/>
      <c r="I36" s="281">
        <f>'16. Cash Flow Statement (3)'!P42+'7. Beginning Balance Sheet'!F38</f>
        <v>0</v>
      </c>
      <c r="J36" s="85"/>
      <c r="K36" s="82"/>
      <c r="L36" s="82"/>
      <c r="M36" s="82"/>
      <c r="N36" s="82"/>
      <c r="O36" s="82"/>
      <c r="P36" s="82"/>
      <c r="Q36" s="17"/>
      <c r="R36" s="17"/>
    </row>
    <row r="37" spans="1:18" ht="12.75" customHeight="1">
      <c r="A37" s="1"/>
      <c r="B37" s="1" t="s">
        <v>210</v>
      </c>
      <c r="C37" s="1"/>
      <c r="E37" s="85"/>
      <c r="F37" s="280">
        <f>SUM(F30:F36)</f>
        <v>0</v>
      </c>
      <c r="G37" s="280"/>
      <c r="H37" s="280"/>
      <c r="I37" s="280">
        <f>SUM(I30:I36)</f>
        <v>0</v>
      </c>
      <c r="J37" s="85"/>
      <c r="K37" s="82"/>
      <c r="L37" s="82"/>
      <c r="M37" s="82"/>
      <c r="N37" s="82"/>
      <c r="O37" s="82"/>
      <c r="P37" s="82"/>
      <c r="Q37" s="17"/>
      <c r="R37" s="17"/>
    </row>
    <row r="38" spans="1:18" ht="12.75" customHeight="1">
      <c r="A38" s="1"/>
      <c r="B38" s="1"/>
      <c r="C38" s="1"/>
      <c r="F38" s="269"/>
      <c r="G38" s="269"/>
      <c r="H38" s="269"/>
      <c r="I38" s="269"/>
      <c r="J38" s="85"/>
      <c r="K38" s="82"/>
      <c r="L38" s="82"/>
      <c r="M38" s="82"/>
      <c r="N38" s="82"/>
      <c r="O38" s="82"/>
      <c r="P38" s="82"/>
      <c r="Q38" s="17"/>
      <c r="R38" s="17"/>
    </row>
    <row r="39" spans="1:18" ht="12.75" customHeight="1">
      <c r="A39" s="1"/>
      <c r="B39" s="1" t="s">
        <v>211</v>
      </c>
      <c r="C39" s="1"/>
      <c r="F39" s="269"/>
      <c r="G39" s="269"/>
      <c r="H39" s="269"/>
      <c r="I39" s="269"/>
      <c r="J39" s="85"/>
      <c r="K39" s="82"/>
      <c r="L39" s="82"/>
      <c r="M39" s="82"/>
      <c r="N39" s="82"/>
      <c r="O39" s="82"/>
      <c r="P39" s="82"/>
      <c r="Q39" s="17"/>
      <c r="R39" s="17"/>
    </row>
    <row r="40" spans="1:18" ht="12.75" customHeight="1">
      <c r="A40" s="1"/>
      <c r="B40" s="1"/>
      <c r="C40" s="1" t="str">
        <f>+'14. Balance Sheet (2)'!C40</f>
        <v>Owner's Equity</v>
      </c>
      <c r="F40" s="269">
        <f>'14. Balance Sheet (2)'!I40</f>
        <v>0</v>
      </c>
      <c r="G40" s="269"/>
      <c r="H40" s="269"/>
      <c r="I40" s="269">
        <f>F40</f>
        <v>0</v>
      </c>
      <c r="K40" s="37"/>
      <c r="L40" s="37"/>
      <c r="M40" s="37"/>
      <c r="N40" s="37"/>
      <c r="O40" s="37"/>
      <c r="P40" s="37"/>
      <c r="Q40" s="7"/>
      <c r="R40" s="7"/>
    </row>
    <row r="41" spans="1:18" ht="12.75" customHeight="1">
      <c r="A41" s="1"/>
      <c r="B41" s="1"/>
      <c r="C41" s="1" t="str">
        <f>+'14. Balance Sheet (2)'!C41</f>
        <v>Outside Investors</v>
      </c>
      <c r="F41" s="269">
        <f>'14. Balance Sheet (2)'!I41</f>
        <v>0</v>
      </c>
      <c r="G41" s="269"/>
      <c r="H41" s="269"/>
      <c r="I41" s="269">
        <f>F41+'16. Cash Flow Statement (3)'!Q13</f>
        <v>0</v>
      </c>
      <c r="K41" s="37"/>
      <c r="L41" s="37"/>
      <c r="M41" s="37"/>
      <c r="N41" s="37"/>
      <c r="O41" s="37"/>
      <c r="P41" s="37"/>
      <c r="Q41" s="7"/>
      <c r="R41" s="7"/>
    </row>
    <row r="42" spans="1:18" ht="12.75" customHeight="1">
      <c r="A42" s="1"/>
      <c r="B42" s="1"/>
      <c r="C42" s="1" t="s">
        <v>213</v>
      </c>
      <c r="F42" s="269">
        <f>'14. Balance Sheet (2)'!I42</f>
        <v>0</v>
      </c>
      <c r="G42" s="269"/>
      <c r="H42" s="269"/>
      <c r="I42" s="269">
        <f>F42+'15. Income Statement (3)'!Q76</f>
        <v>0</v>
      </c>
      <c r="K42" s="37"/>
      <c r="L42" s="37"/>
      <c r="M42" s="37"/>
      <c r="N42" s="37"/>
      <c r="O42" s="37"/>
      <c r="P42" s="37"/>
      <c r="Q42" s="7"/>
      <c r="R42" s="7"/>
    </row>
    <row r="43" spans="1:18" ht="12.75" customHeight="1" thickBot="1">
      <c r="A43" s="1"/>
      <c r="B43" s="1"/>
      <c r="C43" s="1" t="s">
        <v>214</v>
      </c>
      <c r="F43" s="281">
        <f>'14. Balance Sheet (2)'!I43</f>
        <v>0</v>
      </c>
      <c r="G43" s="280"/>
      <c r="H43" s="269"/>
      <c r="I43" s="281">
        <f>F43-'16. Cash Flow Statement (3)'!Q30</f>
        <v>0</v>
      </c>
      <c r="K43" s="37"/>
      <c r="L43" s="37"/>
      <c r="M43" s="37"/>
      <c r="N43" s="37"/>
      <c r="O43" s="37"/>
      <c r="P43" s="37"/>
      <c r="Q43" s="7"/>
      <c r="R43" s="7"/>
    </row>
    <row r="44" spans="1:18" ht="12.75" customHeight="1">
      <c r="A44" s="1"/>
      <c r="B44" s="1" t="s">
        <v>215</v>
      </c>
      <c r="C44" s="1"/>
      <c r="F44" s="269">
        <f>SUM(F40:F43)</f>
        <v>0</v>
      </c>
      <c r="G44" s="269"/>
      <c r="H44" s="269"/>
      <c r="I44" s="269">
        <f>SUM(I40:I43)</f>
        <v>0</v>
      </c>
      <c r="K44" s="37"/>
      <c r="L44" s="37"/>
      <c r="M44" s="37"/>
      <c r="N44" s="37"/>
      <c r="O44" s="37"/>
      <c r="P44" s="37"/>
      <c r="Q44" s="7"/>
      <c r="R44" s="7"/>
    </row>
    <row r="45" spans="1:18" ht="12.75" customHeight="1" thickBot="1">
      <c r="A45" s="1"/>
      <c r="B45" s="1"/>
      <c r="C45" s="1"/>
      <c r="F45" s="281"/>
      <c r="G45" s="280"/>
      <c r="H45" s="269"/>
      <c r="I45" s="281"/>
      <c r="K45" s="37"/>
      <c r="L45" s="37"/>
      <c r="M45" s="37"/>
      <c r="N45" s="37"/>
      <c r="O45" s="37"/>
      <c r="P45" s="37"/>
      <c r="Q45" s="7"/>
      <c r="R45" s="7"/>
    </row>
    <row r="46" spans="1:18" ht="12.75" customHeight="1" thickBot="1">
      <c r="A46" s="1"/>
      <c r="B46" s="1"/>
      <c r="C46" s="1"/>
      <c r="F46" s="282">
        <f>INT(F37+F44)</f>
        <v>0</v>
      </c>
      <c r="G46" s="280"/>
      <c r="H46" s="269"/>
      <c r="I46" s="282">
        <f>INT(I37+I44)</f>
        <v>0</v>
      </c>
      <c r="K46" s="37"/>
      <c r="L46" s="37"/>
      <c r="M46" s="37"/>
      <c r="N46" s="37"/>
      <c r="O46" s="37"/>
      <c r="P46" s="37"/>
    </row>
    <row r="47" spans="1:18" ht="12.75" customHeight="1" thickTop="1">
      <c r="A47" s="1"/>
      <c r="B47" s="1"/>
      <c r="C47" s="1"/>
      <c r="K47" s="37"/>
      <c r="L47" s="37"/>
      <c r="M47" s="37"/>
      <c r="N47" s="37"/>
      <c r="O47" s="37"/>
      <c r="P47" s="37"/>
    </row>
    <row r="48" spans="1:18" ht="15.75" customHeight="1">
      <c r="A48" s="1"/>
      <c r="B48" s="1"/>
      <c r="C48" s="1"/>
      <c r="K48" s="37"/>
      <c r="L48" s="37"/>
      <c r="M48" s="37"/>
      <c r="N48" s="37"/>
      <c r="O48" s="37"/>
      <c r="P48" s="37"/>
    </row>
    <row r="49" spans="1:18" ht="12.75" customHeight="1">
      <c r="A49" s="1" t="s">
        <v>235</v>
      </c>
      <c r="B49" s="1"/>
      <c r="C49" s="1"/>
      <c r="F49" s="39" t="str">
        <f>IF(F26=F46,"Statement Balances","Does Not Balance")</f>
        <v>Statement Balances</v>
      </c>
      <c r="I49" s="39" t="str">
        <f>IF(I26-I46=0,"Statement Balances","Does Not Balance")</f>
        <v>Statement Balances</v>
      </c>
      <c r="K49" s="37"/>
      <c r="L49" s="37"/>
      <c r="M49" s="37"/>
      <c r="N49" s="37"/>
      <c r="O49" s="37"/>
      <c r="P49" s="37"/>
    </row>
    <row r="50" spans="1:18" ht="12.75" customHeight="1">
      <c r="A50" s="1"/>
      <c r="B50" s="1"/>
      <c r="C50" s="1"/>
      <c r="K50" s="37"/>
      <c r="L50" s="37"/>
      <c r="M50" s="37"/>
      <c r="N50" s="37"/>
      <c r="O50" s="37"/>
      <c r="P50" s="37"/>
    </row>
    <row r="51" spans="1:18" ht="12.75" customHeight="1">
      <c r="A51" s="1"/>
      <c r="B51" s="1"/>
      <c r="C51" s="1"/>
      <c r="K51" s="91"/>
      <c r="L51" s="37"/>
      <c r="M51" s="37"/>
      <c r="N51" s="37"/>
      <c r="O51" s="37"/>
      <c r="P51" s="37"/>
    </row>
    <row r="52" spans="1:18" ht="12.75" customHeight="1">
      <c r="A52" s="1"/>
      <c r="K52" s="37"/>
      <c r="L52" s="37"/>
      <c r="M52" s="37"/>
      <c r="N52" s="37"/>
      <c r="O52" s="37"/>
      <c r="P52" s="37"/>
    </row>
    <row r="53" spans="1:18" ht="12.75" customHeight="1">
      <c r="A53" s="1"/>
      <c r="K53" s="37"/>
      <c r="L53" s="37"/>
      <c r="M53" s="37"/>
      <c r="N53" s="37"/>
      <c r="O53" s="37"/>
      <c r="P53" s="37"/>
    </row>
    <row r="54" spans="1:18" ht="12.75" customHeight="1">
      <c r="A54" s="1"/>
      <c r="E54" s="85"/>
      <c r="F54" s="85"/>
      <c r="G54" s="85"/>
      <c r="H54" s="85"/>
      <c r="I54" s="85"/>
    </row>
    <row r="55" spans="1:18" ht="12.75" customHeight="1">
      <c r="E55" s="85"/>
      <c r="F55" s="85"/>
      <c r="G55" s="85"/>
      <c r="H55" s="85"/>
      <c r="I55" s="85"/>
    </row>
    <row r="56" spans="1:18" ht="12.75" customHeight="1">
      <c r="E56" s="85"/>
      <c r="F56" s="85"/>
      <c r="G56" s="85"/>
      <c r="H56" s="85"/>
      <c r="I56" s="85"/>
      <c r="J56" s="85"/>
      <c r="K56" s="14"/>
      <c r="L56" s="14"/>
      <c r="M56" s="14"/>
      <c r="N56" s="14"/>
      <c r="O56" s="14"/>
      <c r="P56" s="14"/>
      <c r="Q56" s="14"/>
      <c r="R56" s="14"/>
    </row>
    <row r="57" spans="1:18" ht="12.75" customHeight="1">
      <c r="D57" s="6"/>
      <c r="E57" s="85"/>
      <c r="F57" s="85"/>
      <c r="G57" s="85"/>
      <c r="H57" s="85"/>
      <c r="I57" s="85"/>
      <c r="J57" s="85"/>
      <c r="K57" s="14"/>
      <c r="L57" s="14"/>
      <c r="M57" s="14"/>
      <c r="N57" s="14"/>
      <c r="O57" s="14"/>
      <c r="P57" s="14"/>
      <c r="Q57" s="14"/>
      <c r="R57" s="14"/>
    </row>
    <row r="58" spans="1:18" ht="12.75" customHeight="1">
      <c r="D58" s="6"/>
      <c r="E58" s="85"/>
      <c r="F58" s="85"/>
      <c r="G58" s="85"/>
      <c r="H58" s="85"/>
      <c r="I58" s="85"/>
      <c r="J58" s="85"/>
      <c r="K58" s="14"/>
      <c r="L58" s="14"/>
      <c r="M58" s="14"/>
      <c r="N58" s="14"/>
      <c r="O58" s="14"/>
      <c r="P58" s="14"/>
      <c r="Q58" s="14"/>
      <c r="R58" s="14"/>
    </row>
    <row r="59" spans="1:18" ht="12.75" customHeight="1">
      <c r="D59" s="6"/>
      <c r="E59" s="85"/>
      <c r="F59" s="85"/>
      <c r="G59" s="85"/>
      <c r="H59" s="85"/>
      <c r="I59" s="85"/>
      <c r="J59" s="85"/>
      <c r="K59" s="14"/>
      <c r="L59" s="14"/>
      <c r="M59" s="14"/>
      <c r="N59" s="14"/>
      <c r="O59" s="14"/>
      <c r="P59" s="14"/>
      <c r="Q59" s="14"/>
      <c r="R59" s="14"/>
    </row>
    <row r="60" spans="1:18" ht="12.75" customHeight="1">
      <c r="D60" s="6"/>
      <c r="E60" s="85"/>
      <c r="F60" s="85"/>
      <c r="G60" s="85"/>
      <c r="H60" s="85"/>
      <c r="I60" s="85"/>
      <c r="J60" s="85"/>
      <c r="K60" s="14"/>
      <c r="L60" s="14"/>
      <c r="M60" s="14"/>
      <c r="N60" s="14"/>
      <c r="O60" s="14"/>
      <c r="P60" s="14"/>
      <c r="Q60" s="14"/>
      <c r="R60" s="14"/>
    </row>
    <row r="61" spans="1:18" ht="12.75" customHeight="1">
      <c r="D61" s="6"/>
      <c r="E61" s="85"/>
      <c r="F61" s="85"/>
      <c r="G61" s="85"/>
      <c r="H61" s="85"/>
      <c r="I61" s="85"/>
      <c r="J61" s="85"/>
      <c r="K61" s="14"/>
      <c r="L61" s="14"/>
      <c r="M61" s="14"/>
      <c r="N61" s="14"/>
      <c r="O61" s="14"/>
      <c r="P61" s="14"/>
      <c r="Q61" s="14"/>
      <c r="R61" s="14"/>
    </row>
    <row r="62" spans="1:18" ht="12.75" customHeight="1">
      <c r="E62" s="85"/>
      <c r="F62" s="85"/>
      <c r="G62" s="85"/>
      <c r="H62" s="85"/>
      <c r="I62" s="85"/>
      <c r="J62" s="85"/>
      <c r="K62" s="14"/>
      <c r="L62" s="14"/>
      <c r="M62" s="14"/>
      <c r="N62" s="14"/>
      <c r="O62" s="14"/>
      <c r="P62" s="14"/>
      <c r="Q62" s="14"/>
      <c r="R62" s="14"/>
    </row>
    <row r="63" spans="1:18" ht="12.75" customHeight="1">
      <c r="E63" s="85"/>
      <c r="F63" s="85"/>
      <c r="G63" s="85"/>
      <c r="H63" s="85"/>
      <c r="I63" s="85"/>
      <c r="J63" s="85"/>
      <c r="K63" s="14"/>
      <c r="L63" s="14"/>
      <c r="M63" s="14"/>
      <c r="N63" s="14"/>
      <c r="O63" s="14"/>
      <c r="P63" s="14"/>
      <c r="Q63" s="14"/>
      <c r="R63" s="14"/>
    </row>
    <row r="64" spans="1:18" ht="12.75" customHeight="1">
      <c r="E64" s="85"/>
      <c r="F64" s="85"/>
      <c r="G64" s="85"/>
      <c r="H64" s="85"/>
      <c r="I64" s="85"/>
      <c r="J64" s="85"/>
      <c r="K64" s="14"/>
      <c r="L64" s="14"/>
      <c r="M64" s="14"/>
      <c r="N64" s="14"/>
      <c r="O64" s="14"/>
      <c r="P64" s="14"/>
      <c r="Q64" s="14"/>
      <c r="R64" s="14"/>
    </row>
    <row r="65" spans="5:18" ht="12.75" customHeight="1">
      <c r="E65" s="85"/>
      <c r="F65" s="85"/>
      <c r="G65" s="85"/>
      <c r="H65" s="85"/>
      <c r="I65" s="85"/>
      <c r="J65" s="85"/>
      <c r="K65" s="14"/>
      <c r="L65" s="14"/>
      <c r="M65" s="14"/>
      <c r="N65" s="14"/>
      <c r="O65" s="14"/>
      <c r="P65" s="14"/>
      <c r="Q65" s="14"/>
      <c r="R65" s="14"/>
    </row>
    <row r="66" spans="5:18" ht="12.75" customHeight="1">
      <c r="J66" s="85"/>
      <c r="K66" s="14"/>
      <c r="L66" s="14"/>
      <c r="M66" s="14"/>
      <c r="N66" s="14"/>
      <c r="O66" s="14"/>
      <c r="P66" s="14"/>
      <c r="Q66" s="14"/>
      <c r="R66" s="14"/>
    </row>
    <row r="67" spans="5:18" ht="12.75" customHeight="1">
      <c r="J67" s="85"/>
      <c r="K67" s="14"/>
      <c r="L67" s="14"/>
      <c r="M67" s="14"/>
      <c r="N67" s="14"/>
      <c r="O67" s="14"/>
      <c r="P67" s="14"/>
      <c r="Q67" s="14"/>
      <c r="R67" s="14"/>
    </row>
    <row r="68" spans="5:18" ht="12.75" customHeight="1"/>
    <row r="69" spans="5:18" ht="12.75" customHeight="1"/>
    <row r="70" spans="5:18" ht="12.75" customHeight="1"/>
    <row r="71" spans="5:18" ht="12.75" customHeight="1"/>
    <row r="72" spans="5:18" ht="12.75" customHeight="1"/>
    <row r="73" spans="5:18" ht="12.75" customHeight="1"/>
    <row r="74" spans="5:18" ht="12.75" customHeight="1"/>
    <row r="75" spans="5:18" ht="12.75" customHeight="1"/>
    <row r="76" spans="5:18" ht="12.75" customHeight="1"/>
    <row r="77" spans="5:18" ht="12.75" customHeight="1"/>
    <row r="78" spans="5:18" ht="12.75" customHeight="1"/>
    <row r="79" spans="5:18" ht="12.75" customHeight="1"/>
    <row r="80" spans="5:18"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sheetData>
  <sheetProtection sheet="1"/>
  <phoneticPr fontId="4" type="noConversion"/>
  <pageMargins left="0.75" right="0.75" top="1" bottom="0.75" header="0.5" footer="0.5"/>
  <pageSetup scale="90" orientation="portrait" horizontalDpi="300"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73"/>
  <sheetViews>
    <sheetView showGridLines="0" showRowColHeaders="0" workbookViewId="0">
      <selection activeCell="E39" sqref="E39"/>
    </sheetView>
  </sheetViews>
  <sheetFormatPr defaultColWidth="8.85546875" defaultRowHeight="12"/>
  <cols>
    <col min="1" max="4" width="3" style="1" customWidth="1"/>
    <col min="5" max="5" width="20.85546875" customWidth="1"/>
    <col min="6" max="6" width="5.85546875" customWidth="1"/>
    <col min="7" max="7" width="18.85546875" customWidth="1"/>
    <col min="8" max="8" width="8.85546875" style="16" customWidth="1"/>
    <col min="9" max="9" width="18.85546875" customWidth="1"/>
    <col min="10" max="10" width="8.85546875" customWidth="1"/>
    <col min="11" max="12" width="18.85546875" customWidth="1"/>
  </cols>
  <sheetData>
    <row r="1" spans="1:18" ht="15.75">
      <c r="A1" s="5" t="str">
        <f>'1. Required Start-Up Funds'!A1</f>
        <v xml:space="preserve"> </v>
      </c>
      <c r="Q1" s="12"/>
    </row>
    <row r="2" spans="1:18" ht="15.75">
      <c r="A2" s="5" t="s">
        <v>242</v>
      </c>
    </row>
    <row r="3" spans="1:18" ht="12.75" customHeight="1">
      <c r="E3" s="1"/>
      <c r="F3" s="37"/>
      <c r="G3" s="37"/>
      <c r="H3" s="43"/>
      <c r="I3" s="37"/>
      <c r="J3" s="37"/>
      <c r="K3" s="37"/>
      <c r="L3" s="37"/>
      <c r="M3" s="37"/>
      <c r="N3" s="37"/>
      <c r="O3" s="37"/>
      <c r="P3" s="37"/>
      <c r="Q3" s="37"/>
    </row>
    <row r="4" spans="1:18" ht="12.75" customHeight="1">
      <c r="E4" s="37"/>
      <c r="F4" s="37"/>
      <c r="G4" s="37"/>
      <c r="H4" s="43"/>
      <c r="I4" s="37"/>
      <c r="J4" s="37"/>
      <c r="K4" s="37"/>
      <c r="L4" s="37"/>
      <c r="M4" s="37"/>
      <c r="N4" s="37"/>
      <c r="O4" s="37"/>
      <c r="P4" s="37"/>
      <c r="Q4" s="37"/>
    </row>
    <row r="5" spans="1:18" ht="12.75" customHeight="1">
      <c r="E5" s="37"/>
      <c r="F5" s="37"/>
      <c r="G5" s="37"/>
      <c r="H5" s="43"/>
      <c r="I5" s="37"/>
      <c r="J5" s="37"/>
      <c r="K5" s="37"/>
      <c r="L5" s="37"/>
      <c r="M5" s="37"/>
      <c r="N5" s="37"/>
      <c r="O5" s="37"/>
      <c r="P5" s="37"/>
      <c r="Q5" s="37"/>
    </row>
    <row r="6" spans="1:18" ht="12.75" customHeight="1" thickBot="1">
      <c r="A6" s="20" t="s">
        <v>244</v>
      </c>
      <c r="B6" s="20"/>
      <c r="C6" s="20"/>
      <c r="D6" s="20"/>
      <c r="E6" s="43"/>
      <c r="F6" s="41"/>
      <c r="G6" s="96" t="s">
        <v>283</v>
      </c>
      <c r="H6" s="41"/>
      <c r="I6" s="96" t="s">
        <v>293</v>
      </c>
      <c r="J6" s="41"/>
      <c r="K6" s="96" t="s">
        <v>284</v>
      </c>
      <c r="L6" s="43"/>
      <c r="M6" s="145" t="s">
        <v>94</v>
      </c>
      <c r="N6" s="43"/>
      <c r="O6" s="43"/>
      <c r="P6" s="43"/>
      <c r="Q6" s="43"/>
      <c r="R6" s="16"/>
    </row>
    <row r="7" spans="1:18" ht="12.75" customHeight="1" thickTop="1">
      <c r="A7" s="20"/>
      <c r="B7" s="20" t="s">
        <v>245</v>
      </c>
      <c r="C7" s="20"/>
      <c r="D7" s="20"/>
      <c r="E7" s="43"/>
      <c r="F7" s="43"/>
      <c r="G7" s="44"/>
      <c r="H7" s="43"/>
      <c r="I7" s="80"/>
      <c r="J7" s="43"/>
      <c r="K7" s="43"/>
      <c r="L7" s="43"/>
      <c r="M7" s="43"/>
      <c r="N7" s="43"/>
      <c r="O7" s="43"/>
      <c r="P7" s="43"/>
      <c r="Q7" s="43"/>
      <c r="R7" s="16"/>
    </row>
    <row r="8" spans="1:18" ht="12.75" customHeight="1">
      <c r="A8" s="20"/>
      <c r="B8" s="20"/>
      <c r="C8" s="20" t="s">
        <v>246</v>
      </c>
      <c r="D8" s="20"/>
      <c r="E8" s="43"/>
      <c r="F8" s="43"/>
      <c r="G8" s="152">
        <f>IF('10. Balance Sheet'!I37=0,0,'10. Balance Sheet'!I13/'10. Balance Sheet'!I37)</f>
        <v>0</v>
      </c>
      <c r="H8" s="152"/>
      <c r="I8" s="152">
        <f>IF('14. Balance Sheet (2)'!I37=0,0,'14. Balance Sheet (2)'!I13/'14. Balance Sheet (2)'!I37)</f>
        <v>0</v>
      </c>
      <c r="J8" s="152"/>
      <c r="K8" s="152">
        <f>IF('17. Balance Sheet (3)'!I37=0,0,'17. Balance Sheet (3)'!I13/'17. Balance Sheet (3)'!I37)</f>
        <v>0</v>
      </c>
      <c r="L8" s="153"/>
      <c r="M8" s="154"/>
      <c r="N8" s="43"/>
      <c r="O8" s="43"/>
      <c r="P8" s="43"/>
      <c r="Q8" s="43"/>
      <c r="R8" s="16"/>
    </row>
    <row r="9" spans="1:18" ht="12.75" customHeight="1">
      <c r="A9" s="20"/>
      <c r="B9" s="20"/>
      <c r="C9" s="20" t="s">
        <v>119</v>
      </c>
      <c r="D9" s="20"/>
      <c r="E9" s="43"/>
      <c r="F9" s="43"/>
      <c r="G9" s="152">
        <f>IF('10. Balance Sheet'!I37=0,0,('10. Balance Sheet'!I8+'10. Balance Sheet'!I9)/'10. Balance Sheet'!I37)</f>
        <v>0</v>
      </c>
      <c r="H9" s="152"/>
      <c r="I9" s="152">
        <f>IF('14. Balance Sheet (2)'!I37=0,0,('14. Balance Sheet (2)'!I8+'14. Balance Sheet (2)'!I9)/'14. Balance Sheet (2)'!I37)</f>
        <v>0</v>
      </c>
      <c r="J9" s="152"/>
      <c r="K9" s="152">
        <f>IF('17. Balance Sheet (3)'!I37=0,0,('17. Balance Sheet (3)'!I8+'17. Balance Sheet (3)'!I9)/'17. Balance Sheet (3)'!I37)</f>
        <v>0</v>
      </c>
      <c r="L9" s="153"/>
      <c r="M9" s="153"/>
      <c r="N9" s="43"/>
      <c r="O9" s="43"/>
      <c r="P9" s="43"/>
      <c r="Q9" s="43"/>
      <c r="R9" s="16"/>
    </row>
    <row r="10" spans="1:18" ht="12.75" customHeight="1">
      <c r="A10" s="20"/>
      <c r="B10" s="20" t="s">
        <v>120</v>
      </c>
      <c r="C10" s="20"/>
      <c r="D10" s="20"/>
      <c r="E10" s="43"/>
      <c r="F10" s="43"/>
      <c r="G10" s="152"/>
      <c r="H10" s="152"/>
      <c r="I10" s="152"/>
      <c r="J10" s="152"/>
      <c r="K10" s="152"/>
      <c r="L10" s="153"/>
      <c r="M10" s="153"/>
      <c r="N10" s="43"/>
      <c r="O10" s="43"/>
      <c r="P10" s="43"/>
      <c r="Q10" s="43"/>
      <c r="R10" s="16"/>
    </row>
    <row r="11" spans="1:18" ht="12.75" customHeight="1">
      <c r="A11" s="20"/>
      <c r="B11" s="20"/>
      <c r="C11" s="167" t="s">
        <v>122</v>
      </c>
      <c r="D11" s="167"/>
      <c r="E11" s="168"/>
      <c r="F11" s="168"/>
      <c r="G11" s="169">
        <f>IF('10. Balance Sheet'!I44=0,0,'10. Balance Sheet'!I37/'10. Balance Sheet'!I44)</f>
        <v>0</v>
      </c>
      <c r="H11" s="169"/>
      <c r="I11" s="169">
        <f>IF('14. Balance Sheet (2)'!I44=0,0,'14. Balance Sheet (2)'!I37/'14. Balance Sheet (2)'!I44)</f>
        <v>0</v>
      </c>
      <c r="J11" s="169"/>
      <c r="K11" s="169">
        <f>IF('17. Balance Sheet (3)'!I44=0,0,'17. Balance Sheet (3)'!I37/'17. Balance Sheet (3)'!I44)</f>
        <v>0</v>
      </c>
      <c r="L11" s="170"/>
      <c r="M11" s="170"/>
      <c r="N11" s="168"/>
      <c r="O11" s="43"/>
      <c r="P11" s="43"/>
      <c r="Q11" s="43"/>
      <c r="R11" s="16"/>
    </row>
    <row r="12" spans="1:18" ht="12.75" customHeight="1">
      <c r="A12" s="20"/>
      <c r="B12" s="20"/>
      <c r="C12" s="20" t="s">
        <v>121</v>
      </c>
      <c r="D12" s="20"/>
      <c r="E12" s="43"/>
      <c r="F12" s="43"/>
      <c r="G12" s="152">
        <f>IF('10. Balance Sheet'!I37=0,0,('8. Income Statement'!Q76+'8. Income Statement'!Q65)/'10. Balance Sheet'!I37)</f>
        <v>0</v>
      </c>
      <c r="H12" s="152"/>
      <c r="I12" s="152">
        <f>IF('14. Balance Sheet (2)'!I37=0,0,('12. Income Statement (2)'!Q76+'12. Income Statement (2)'!Q65)/'14. Balance Sheet (2)'!I37)</f>
        <v>0</v>
      </c>
      <c r="J12" s="152"/>
      <c r="K12" s="152">
        <f>IF('17. Balance Sheet (3)'!I37=0,0,('15. Income Statement (3)'!Q76+'15. Income Statement (3)'!Q65)/'17. Balance Sheet (3)'!I37)</f>
        <v>0</v>
      </c>
      <c r="L12" s="153"/>
      <c r="M12" s="153"/>
      <c r="N12" s="43"/>
      <c r="O12" s="43"/>
      <c r="P12" s="43"/>
      <c r="Q12" s="43"/>
      <c r="R12" s="16"/>
    </row>
    <row r="13" spans="1:18" ht="12.75" customHeight="1">
      <c r="A13" s="20"/>
      <c r="B13" s="85" t="s">
        <v>123</v>
      </c>
      <c r="C13" s="85"/>
      <c r="D13" s="85"/>
      <c r="E13" s="14"/>
      <c r="F13" s="14"/>
      <c r="G13" s="155"/>
      <c r="H13" s="156"/>
      <c r="I13" s="156"/>
      <c r="J13" s="156"/>
      <c r="K13" s="156"/>
      <c r="L13" s="20"/>
      <c r="M13" s="20"/>
      <c r="N13" s="43"/>
      <c r="O13" s="43"/>
      <c r="P13" s="43"/>
      <c r="Q13" s="43"/>
      <c r="R13" s="16"/>
    </row>
    <row r="14" spans="1:18" ht="12.75" customHeight="1">
      <c r="A14" s="20"/>
      <c r="B14" s="85"/>
      <c r="C14" s="85" t="s">
        <v>124</v>
      </c>
      <c r="D14" s="85"/>
      <c r="E14" s="14"/>
      <c r="F14" s="14"/>
      <c r="G14" s="157">
        <v>0</v>
      </c>
      <c r="H14" s="147"/>
      <c r="I14" s="147">
        <f>IF('8. Income Statement'!Q16=0,0,('12. Income Statement (2)'!Q16-'8. Income Statement'!Q16)/'8. Income Statement'!Q16)</f>
        <v>0</v>
      </c>
      <c r="J14" s="147"/>
      <c r="K14" s="147">
        <f>IF('12. Income Statement (2)'!Q16=0,0,('15. Income Statement (3)'!Q16-'12. Income Statement (2)'!Q16)/'12. Income Statement (2)'!Q16)</f>
        <v>0</v>
      </c>
      <c r="L14" s="158"/>
      <c r="M14" s="158"/>
      <c r="N14" s="43"/>
      <c r="O14" s="43"/>
      <c r="P14" s="43"/>
      <c r="Q14" s="43"/>
      <c r="R14" s="16"/>
    </row>
    <row r="15" spans="1:18" ht="12.75" customHeight="1">
      <c r="A15" s="20"/>
      <c r="B15" s="20"/>
      <c r="C15" s="20" t="s">
        <v>125</v>
      </c>
      <c r="D15" s="20"/>
      <c r="E15" s="43"/>
      <c r="F15" s="43"/>
      <c r="G15" s="147">
        <f>IF('8. Income Statement'!Q16=0,0,'8. Income Statement'!Q26/'8. Income Statement'!Q16)</f>
        <v>0</v>
      </c>
      <c r="H15" s="147"/>
      <c r="I15" s="147">
        <f>IF('12. Income Statement (2)'!Q16=0,0,'12. Income Statement (2)'!Q26/'12. Income Statement (2)'!Q16)</f>
        <v>0</v>
      </c>
      <c r="J15" s="147"/>
      <c r="K15" s="147">
        <f>IF('15. Income Statement (3)'!Q16=0,0,'15. Income Statement (3)'!Q26/'15. Income Statement (3)'!Q16)</f>
        <v>0</v>
      </c>
      <c r="L15" s="158"/>
      <c r="M15" s="158"/>
      <c r="N15" s="43"/>
      <c r="O15" s="43"/>
      <c r="P15" s="43"/>
      <c r="Q15" s="43"/>
      <c r="R15" s="16"/>
    </row>
    <row r="16" spans="1:18" ht="12.75" customHeight="1">
      <c r="A16" s="20"/>
      <c r="B16" s="20"/>
      <c r="C16" s="167" t="s">
        <v>126</v>
      </c>
      <c r="D16" s="167"/>
      <c r="E16" s="168"/>
      <c r="F16" s="168"/>
      <c r="G16" s="171">
        <f>IF('8. Income Statement'!Q16=0,0,'8. Income Statement'!Q28/'8. Income Statement'!Q16)</f>
        <v>0</v>
      </c>
      <c r="H16" s="171"/>
      <c r="I16" s="171">
        <f>IF('12. Income Statement (2)'!Q16=0,0,'12. Income Statement (2)'!Q28/'12. Income Statement (2)'!Q16)</f>
        <v>0</v>
      </c>
      <c r="J16" s="171"/>
      <c r="K16" s="171">
        <f>IF('15. Income Statement (3)'!Q16=0,0,'15. Income Statement (3)'!Q28/'15. Income Statement (3)'!Q16)</f>
        <v>0</v>
      </c>
      <c r="L16" s="172"/>
      <c r="M16" s="172"/>
      <c r="N16" s="168"/>
      <c r="O16" s="43"/>
      <c r="P16" s="43"/>
      <c r="Q16" s="43"/>
      <c r="R16" s="16"/>
    </row>
    <row r="17" spans="1:18" ht="12.75" customHeight="1">
      <c r="A17" s="20"/>
      <c r="B17" s="20"/>
      <c r="C17" s="167" t="s">
        <v>127</v>
      </c>
      <c r="D17" s="167"/>
      <c r="E17" s="168"/>
      <c r="F17" s="168"/>
      <c r="G17" s="171">
        <f>IF('8. Income Statement'!Q16=0,0,('8. Income Statement'!Q37+'8. Income Statement'!Q60)/'8. Income Statement'!Q16)</f>
        <v>0</v>
      </c>
      <c r="H17" s="171"/>
      <c r="I17" s="171">
        <f>IF('12. Income Statement (2)'!Q16=0,0,('12. Income Statement (2)'!Q37+'12. Income Statement (2)'!Q60)/'12. Income Statement (2)'!Q16)</f>
        <v>0</v>
      </c>
      <c r="J17" s="171"/>
      <c r="K17" s="171">
        <f>IF('15. Income Statement (3)'!Q16=0,0,('15. Income Statement (3)'!Q37+'15. Income Statement (3)'!Q60)/'15. Income Statement (3)'!Q16)</f>
        <v>0</v>
      </c>
      <c r="L17" s="172"/>
      <c r="M17" s="172"/>
      <c r="N17" s="168"/>
      <c r="O17" s="43"/>
      <c r="P17" s="43"/>
      <c r="Q17" s="43"/>
      <c r="R17" s="16"/>
    </row>
    <row r="18" spans="1:18" ht="12.75" customHeight="1">
      <c r="A18" s="20"/>
      <c r="B18" s="20"/>
      <c r="C18" s="167" t="s">
        <v>128</v>
      </c>
      <c r="D18" s="167"/>
      <c r="E18" s="168"/>
      <c r="F18" s="168"/>
      <c r="G18" s="171">
        <f>IF('8. Income Statement'!Q16=0,0,'8. Income Statement'!Q76/'8. Income Statement'!Q16)</f>
        <v>0</v>
      </c>
      <c r="H18" s="171"/>
      <c r="I18" s="171">
        <f>IF('12. Income Statement (2)'!Q16=0,0,'12. Income Statement (2)'!Q76/'12. Income Statement (2)'!Q16)</f>
        <v>0</v>
      </c>
      <c r="J18" s="171"/>
      <c r="K18" s="171">
        <f>IF('15. Income Statement (3)'!Q16=0,0,'15. Income Statement (3)'!Q76/'15. Income Statement (3)'!Q16)</f>
        <v>0</v>
      </c>
      <c r="L18" s="172"/>
      <c r="M18" s="172"/>
      <c r="N18" s="168"/>
      <c r="O18" s="43"/>
      <c r="P18" s="43"/>
      <c r="Q18" s="43"/>
      <c r="R18" s="16"/>
    </row>
    <row r="19" spans="1:18" ht="12.75" customHeight="1">
      <c r="A19" s="20"/>
      <c r="B19" s="20"/>
      <c r="C19" s="167" t="s">
        <v>129</v>
      </c>
      <c r="D19" s="167"/>
      <c r="E19" s="168"/>
      <c r="F19" s="168"/>
      <c r="G19" s="171">
        <f>IF('10. Balance Sheet'!I44=0,0,'8. Income Statement'!Q76/'10. Balance Sheet'!I44)</f>
        <v>0</v>
      </c>
      <c r="H19" s="171"/>
      <c r="I19" s="171">
        <f>IF('14. Balance Sheet (2)'!I44=0,0,'12. Income Statement (2)'!Q76/'14. Balance Sheet (2)'!I44)</f>
        <v>0</v>
      </c>
      <c r="J19" s="171"/>
      <c r="K19" s="171">
        <f>IF('17. Balance Sheet (3)'!I44=0,0,'15. Income Statement (3)'!Q76/'17. Balance Sheet (3)'!I44)</f>
        <v>0</v>
      </c>
      <c r="L19" s="172"/>
      <c r="M19" s="172"/>
      <c r="N19" s="168"/>
      <c r="O19" s="43"/>
      <c r="P19" s="43"/>
      <c r="Q19" s="43"/>
      <c r="R19" s="16"/>
    </row>
    <row r="20" spans="1:18" ht="12.75" customHeight="1">
      <c r="A20" s="20"/>
      <c r="B20" s="20"/>
      <c r="C20" s="20" t="s">
        <v>130</v>
      </c>
      <c r="D20" s="20"/>
      <c r="E20" s="43"/>
      <c r="F20" s="43"/>
      <c r="G20" s="147">
        <f>IF('10. Balance Sheet'!I26=0,0,'8. Income Statement'!Q76/'10. Balance Sheet'!I26)</f>
        <v>0</v>
      </c>
      <c r="H20" s="147"/>
      <c r="I20" s="147">
        <f>IF('14. Balance Sheet (2)'!I26=0,0,'12. Income Statement (2)'!Q76/'14. Balance Sheet (2)'!I26)</f>
        <v>0</v>
      </c>
      <c r="J20" s="147"/>
      <c r="K20" s="147">
        <f>IF('17. Balance Sheet (3)'!I26=0,0,'15. Income Statement (3)'!Q76/'17. Balance Sheet (3)'!I26)</f>
        <v>0</v>
      </c>
      <c r="L20" s="158"/>
      <c r="M20" s="158"/>
      <c r="N20" s="43"/>
      <c r="O20" s="43"/>
      <c r="P20" s="43"/>
      <c r="Q20" s="43"/>
      <c r="R20" s="16"/>
    </row>
    <row r="21" spans="1:18" ht="12.75" customHeight="1">
      <c r="A21" s="20"/>
      <c r="B21" s="20"/>
      <c r="C21" s="20" t="s">
        <v>131</v>
      </c>
      <c r="D21" s="20"/>
      <c r="E21" s="43"/>
      <c r="F21" s="43"/>
      <c r="G21" s="147">
        <f>IF('8. Income Statement'!Q16=0,0,'8. Income Statement'!Q31/'8. Income Statement'!Q16)</f>
        <v>0</v>
      </c>
      <c r="H21" s="147"/>
      <c r="I21" s="147">
        <f>IF('12. Income Statement (2)'!Q16=0,0,'12. Income Statement (2)'!Q31/'12. Income Statement (2)'!Q16)</f>
        <v>0</v>
      </c>
      <c r="J21" s="147"/>
      <c r="K21" s="147">
        <f>IF('15. Income Statement (3)'!Q16=0,0,'15. Income Statement (3)'!Q31/'15. Income Statement (3)'!Q16)</f>
        <v>0</v>
      </c>
      <c r="L21" s="158"/>
      <c r="M21" s="158"/>
      <c r="N21" s="43"/>
      <c r="O21" s="43"/>
      <c r="P21" s="43"/>
      <c r="Q21" s="43"/>
      <c r="R21" s="16"/>
    </row>
    <row r="22" spans="1:18" ht="12.75" customHeight="1">
      <c r="A22" s="20"/>
      <c r="B22" s="20" t="s">
        <v>146</v>
      </c>
      <c r="C22" s="20"/>
      <c r="D22" s="20"/>
      <c r="E22" s="43"/>
      <c r="F22" s="43"/>
      <c r="G22" s="156"/>
      <c r="H22" s="156"/>
      <c r="I22" s="156"/>
      <c r="J22" s="156"/>
      <c r="K22" s="156"/>
      <c r="L22" s="20"/>
      <c r="M22" s="20"/>
      <c r="N22" s="43"/>
      <c r="O22" s="43"/>
      <c r="P22" s="43"/>
      <c r="Q22" s="43"/>
      <c r="R22" s="16"/>
    </row>
    <row r="23" spans="1:18" ht="12.75" customHeight="1">
      <c r="A23" s="20"/>
      <c r="B23" s="20"/>
      <c r="C23" s="167" t="s">
        <v>132</v>
      </c>
      <c r="D23" s="167"/>
      <c r="E23" s="168"/>
      <c r="F23" s="168"/>
      <c r="G23" s="169">
        <f>IF('8. Income Statement'!Q16=0,0,('10. Balance Sheet'!I9/'8. Income Statement'!Q16)*360)</f>
        <v>0</v>
      </c>
      <c r="H23" s="169"/>
      <c r="I23" s="169">
        <f>IF('12. Income Statement (2)'!Q16=0,0,('14. Balance Sheet (2)'!I9/'12. Income Statement (2)'!Q16)*360)</f>
        <v>0</v>
      </c>
      <c r="J23" s="169"/>
      <c r="K23" s="169">
        <f>IF('15. Income Statement (3)'!Q16=0,0,('17. Balance Sheet (3)'!I9/'15. Income Statement (3)'!Q16)*360)</f>
        <v>0</v>
      </c>
      <c r="L23" s="170"/>
      <c r="M23" s="170"/>
      <c r="N23" s="168"/>
      <c r="O23" s="43"/>
      <c r="P23" s="43"/>
      <c r="Q23" s="43"/>
      <c r="R23" s="16"/>
    </row>
    <row r="24" spans="1:18" ht="12.75" customHeight="1">
      <c r="A24" s="20"/>
      <c r="B24" s="20"/>
      <c r="C24" s="20" t="s">
        <v>133</v>
      </c>
      <c r="D24" s="20"/>
      <c r="E24" s="43"/>
      <c r="F24" s="43"/>
      <c r="G24" s="152">
        <f>IF('10. Balance Sheet'!I9=0,0,'8. Income Statement'!Q16/'10. Balance Sheet'!I9)</f>
        <v>0</v>
      </c>
      <c r="H24" s="152"/>
      <c r="I24" s="152">
        <f>IF('14. Balance Sheet (2)'!I9=0,0,'12. Income Statement (2)'!Q16/'14. Balance Sheet (2)'!I9)</f>
        <v>0</v>
      </c>
      <c r="J24" s="152"/>
      <c r="K24" s="152">
        <f>IF('17. Balance Sheet (3)'!I9=0,0,'15. Income Statement (3)'!Q16/'17. Balance Sheet (3)'!I9)</f>
        <v>0</v>
      </c>
      <c r="L24" s="153"/>
      <c r="M24" s="153"/>
      <c r="N24" s="43"/>
      <c r="O24" s="43"/>
      <c r="P24" s="43"/>
      <c r="Q24" s="43"/>
      <c r="R24" s="16"/>
    </row>
    <row r="25" spans="1:18" ht="12.75" customHeight="1">
      <c r="A25" s="20"/>
      <c r="B25" s="20"/>
      <c r="C25" s="167" t="s">
        <v>134</v>
      </c>
      <c r="D25" s="167"/>
      <c r="E25" s="168"/>
      <c r="F25" s="168"/>
      <c r="G25" s="169">
        <f>IF('8. Income Statement'!Q26=0,0,('10. Balance Sheet'!I10/'8. Income Statement'!Q26)*360)</f>
        <v>0</v>
      </c>
      <c r="H25" s="169"/>
      <c r="I25" s="169">
        <f>IF('12. Income Statement (2)'!Q26=0,0,('14. Balance Sheet (2)'!I10/'12. Income Statement (2)'!Q26)*360)</f>
        <v>0</v>
      </c>
      <c r="J25" s="169"/>
      <c r="K25" s="169">
        <f>IF('15. Income Statement (3)'!Q26=0,0,('17. Balance Sheet (3)'!I10/'15. Income Statement (3)'!Q26)*360)</f>
        <v>0</v>
      </c>
      <c r="L25" s="170"/>
      <c r="M25" s="170"/>
      <c r="N25" s="168"/>
      <c r="O25" s="43"/>
      <c r="P25" s="43"/>
      <c r="Q25" s="43"/>
      <c r="R25" s="16"/>
    </row>
    <row r="26" spans="1:18" ht="12.75" customHeight="1">
      <c r="A26" s="20"/>
      <c r="B26" s="20"/>
      <c r="C26" s="20" t="s">
        <v>135</v>
      </c>
      <c r="D26" s="20"/>
      <c r="E26" s="43"/>
      <c r="F26" s="56"/>
      <c r="G26" s="152">
        <f>IF('10. Balance Sheet'!I10=0,0,'8. Income Statement'!Q26/'10. Balance Sheet'!I10)</f>
        <v>0</v>
      </c>
      <c r="H26" s="152"/>
      <c r="I26" s="152">
        <f>IF('14. Balance Sheet (2)'!I10=0,0,'12. Income Statement (2)'!Q26/'14. Balance Sheet (2)'!I10)</f>
        <v>0</v>
      </c>
      <c r="J26" s="152"/>
      <c r="K26" s="152">
        <f>IF('17. Balance Sheet (3)'!I10=0,0,'15. Income Statement (3)'!Q26/'17. Balance Sheet (3)'!I10)</f>
        <v>0</v>
      </c>
      <c r="L26" s="153"/>
      <c r="M26" s="153"/>
      <c r="N26" s="43"/>
      <c r="O26" s="43"/>
      <c r="P26" s="43"/>
      <c r="Q26" s="43"/>
      <c r="R26" s="16"/>
    </row>
    <row r="27" spans="1:18" ht="12.75" customHeight="1">
      <c r="A27" s="20"/>
      <c r="B27" s="20"/>
      <c r="C27" s="20" t="s">
        <v>136</v>
      </c>
      <c r="D27" s="20"/>
      <c r="E27" s="43"/>
      <c r="F27" s="56"/>
      <c r="G27" s="152">
        <f>IF('10. Balance Sheet'!I26=0,0,'8. Income Statement'!Q16/'10. Balance Sheet'!I26)</f>
        <v>0</v>
      </c>
      <c r="H27" s="152"/>
      <c r="I27" s="152">
        <f>IF('14. Balance Sheet (2)'!I26=0,0,'12. Income Statement (2)'!Q16/'14. Balance Sheet (2)'!I26)</f>
        <v>0</v>
      </c>
      <c r="J27" s="152"/>
      <c r="K27" s="152">
        <f>IF('17. Balance Sheet (3)'!I26=0,0,'15. Income Statement (3)'!Q16/'17. Balance Sheet (3)'!I26)</f>
        <v>0</v>
      </c>
      <c r="L27" s="153"/>
      <c r="M27" s="153"/>
      <c r="N27" s="43"/>
      <c r="O27" s="43"/>
      <c r="P27" s="43"/>
      <c r="Q27" s="43"/>
      <c r="R27" s="16"/>
    </row>
    <row r="28" spans="1:18" ht="12.75" customHeight="1">
      <c r="A28" s="20"/>
      <c r="B28" s="20"/>
      <c r="C28" s="20"/>
      <c r="D28" s="20"/>
      <c r="E28" s="43"/>
      <c r="F28" s="58"/>
      <c r="G28" s="80"/>
      <c r="H28" s="46"/>
      <c r="I28" s="46"/>
      <c r="J28" s="46"/>
      <c r="K28" s="46"/>
      <c r="L28" s="43"/>
      <c r="M28" s="43"/>
      <c r="N28" s="43"/>
      <c r="O28" s="43"/>
      <c r="P28" s="43"/>
      <c r="Q28" s="43"/>
      <c r="R28" s="16"/>
    </row>
    <row r="29" spans="1:18" ht="12.75" customHeight="1">
      <c r="A29" s="20"/>
      <c r="B29" s="20"/>
      <c r="C29" s="20"/>
      <c r="D29" s="20"/>
      <c r="E29" s="43"/>
      <c r="F29" s="43"/>
      <c r="G29" s="46"/>
      <c r="H29" s="46"/>
      <c r="I29" s="46"/>
      <c r="J29" s="46"/>
      <c r="K29" s="46"/>
      <c r="L29" s="43"/>
      <c r="M29" s="43"/>
      <c r="N29" s="43"/>
      <c r="O29" s="43"/>
      <c r="P29" s="43"/>
      <c r="Q29" s="43"/>
      <c r="R29" s="16"/>
    </row>
    <row r="30" spans="1:18" ht="12.75" customHeight="1">
      <c r="A30" s="20"/>
      <c r="B30" s="20"/>
      <c r="C30" s="20"/>
      <c r="D30" s="20"/>
      <c r="E30" s="43"/>
      <c r="F30" s="43"/>
      <c r="G30" s="46"/>
      <c r="H30" s="46"/>
      <c r="I30" s="46"/>
      <c r="J30" s="46"/>
      <c r="K30" s="46"/>
      <c r="L30" s="43"/>
      <c r="M30" s="43"/>
      <c r="N30" s="43"/>
      <c r="O30" s="43"/>
      <c r="P30" s="43"/>
      <c r="Q30" s="43"/>
      <c r="R30" s="16"/>
    </row>
    <row r="31" spans="1:18" ht="12.75" customHeight="1">
      <c r="A31" s="20"/>
      <c r="B31" s="20"/>
      <c r="C31" s="20"/>
      <c r="D31" s="20"/>
      <c r="E31" s="43"/>
      <c r="F31" s="56"/>
      <c r="G31" s="56"/>
      <c r="H31" s="46"/>
      <c r="I31" s="46"/>
      <c r="J31" s="46"/>
      <c r="K31" s="46"/>
      <c r="L31" s="43"/>
      <c r="M31" s="43"/>
      <c r="N31" s="43"/>
      <c r="O31" s="43"/>
      <c r="P31" s="43"/>
      <c r="Q31" s="43"/>
      <c r="R31" s="16"/>
    </row>
    <row r="32" spans="1:18" ht="12.75" customHeight="1">
      <c r="A32" s="20"/>
      <c r="B32" s="20"/>
      <c r="C32" s="20"/>
      <c r="D32" s="20"/>
      <c r="E32" s="43"/>
      <c r="F32" s="58"/>
      <c r="G32" s="46"/>
      <c r="H32" s="46"/>
      <c r="I32" s="46"/>
      <c r="J32" s="46"/>
      <c r="K32" s="46"/>
      <c r="L32" s="43"/>
      <c r="M32" s="43"/>
      <c r="N32" s="43"/>
      <c r="O32" s="43"/>
      <c r="P32" s="43"/>
      <c r="Q32" s="43"/>
      <c r="R32" s="16"/>
    </row>
    <row r="33" spans="1:18" ht="12.75" customHeight="1">
      <c r="A33" s="20"/>
      <c r="B33" s="20"/>
      <c r="C33" s="20"/>
      <c r="D33" s="20"/>
      <c r="E33" s="43"/>
      <c r="F33" s="43"/>
      <c r="G33" s="46"/>
      <c r="H33" s="46"/>
      <c r="I33" s="46"/>
      <c r="J33" s="46"/>
      <c r="K33" s="46"/>
      <c r="L33" s="43"/>
      <c r="M33" s="43"/>
      <c r="N33" s="43"/>
      <c r="O33" s="43"/>
      <c r="P33" s="43"/>
      <c r="Q33" s="43"/>
      <c r="R33" s="16"/>
    </row>
    <row r="34" spans="1:18" ht="12.75" customHeight="1">
      <c r="A34" s="20"/>
      <c r="B34" s="20"/>
      <c r="C34" s="20"/>
      <c r="D34" s="20"/>
      <c r="E34" s="43"/>
      <c r="F34" s="43"/>
      <c r="G34" s="46"/>
      <c r="H34" s="46"/>
      <c r="I34" s="46"/>
      <c r="J34" s="46"/>
      <c r="K34" s="46"/>
      <c r="L34" s="43"/>
      <c r="M34" s="43"/>
      <c r="N34" s="43"/>
      <c r="O34" s="43"/>
      <c r="P34" s="43"/>
      <c r="Q34" s="43"/>
      <c r="R34" s="16"/>
    </row>
    <row r="35" spans="1:18" ht="12.75" customHeight="1">
      <c r="A35" s="20"/>
      <c r="B35" s="20"/>
      <c r="C35" s="20"/>
      <c r="D35" s="20"/>
      <c r="E35" s="43"/>
      <c r="F35" s="43"/>
      <c r="G35" s="46"/>
      <c r="H35" s="46"/>
      <c r="I35" s="46"/>
      <c r="J35" s="46"/>
      <c r="K35" s="46"/>
      <c r="L35" s="43"/>
      <c r="M35" s="43"/>
      <c r="N35" s="43"/>
      <c r="O35" s="43"/>
      <c r="P35" s="43"/>
      <c r="Q35" s="43"/>
      <c r="R35" s="16"/>
    </row>
    <row r="36" spans="1:18" ht="12.75" customHeight="1">
      <c r="A36" s="20"/>
      <c r="B36" s="20"/>
      <c r="C36" s="20"/>
      <c r="D36" s="20"/>
      <c r="E36" s="43"/>
      <c r="F36" s="43"/>
      <c r="G36" s="46"/>
      <c r="H36" s="46"/>
      <c r="I36" s="46"/>
      <c r="J36" s="46"/>
      <c r="K36" s="46"/>
      <c r="L36" s="43"/>
      <c r="M36" s="43"/>
      <c r="N36" s="43"/>
      <c r="O36" s="43"/>
      <c r="P36" s="43"/>
      <c r="Q36" s="43"/>
      <c r="R36" s="16"/>
    </row>
    <row r="37" spans="1:18" ht="12.75" customHeight="1">
      <c r="A37" s="20"/>
      <c r="B37" s="20"/>
      <c r="C37" s="20"/>
      <c r="D37" s="20"/>
      <c r="E37" s="43"/>
      <c r="F37" s="43"/>
      <c r="G37" s="46"/>
      <c r="H37" s="46"/>
      <c r="I37" s="46"/>
      <c r="J37" s="46"/>
      <c r="K37" s="46"/>
      <c r="L37" s="43"/>
      <c r="M37" s="43"/>
      <c r="N37" s="43"/>
      <c r="O37" s="43"/>
      <c r="P37" s="43"/>
      <c r="Q37" s="43"/>
      <c r="R37" s="16"/>
    </row>
    <row r="38" spans="1:18" ht="12.75" customHeight="1">
      <c r="A38" s="20"/>
      <c r="B38" s="20"/>
      <c r="C38" s="20"/>
      <c r="D38" s="20"/>
      <c r="E38" s="43"/>
      <c r="F38" s="43"/>
      <c r="G38" s="46"/>
      <c r="H38" s="46"/>
      <c r="I38" s="46"/>
      <c r="J38" s="46"/>
      <c r="K38" s="46"/>
      <c r="L38" s="43"/>
      <c r="M38" s="43"/>
      <c r="N38" s="43"/>
      <c r="O38" s="43"/>
      <c r="P38" s="43"/>
      <c r="Q38" s="43"/>
      <c r="R38" s="16"/>
    </row>
    <row r="39" spans="1:18" ht="12.75" customHeight="1">
      <c r="A39" s="20"/>
      <c r="B39" s="20"/>
      <c r="C39" s="20"/>
      <c r="D39" s="20"/>
      <c r="E39" s="43"/>
      <c r="F39" s="43"/>
      <c r="G39" s="46"/>
      <c r="H39" s="46"/>
      <c r="I39" s="46"/>
      <c r="J39" s="46"/>
      <c r="K39" s="46"/>
      <c r="L39" s="43"/>
      <c r="M39" s="43"/>
      <c r="N39" s="43"/>
      <c r="O39" s="43"/>
      <c r="P39" s="43"/>
      <c r="Q39" s="43"/>
      <c r="R39" s="16"/>
    </row>
    <row r="40" spans="1:18" ht="12.75" customHeight="1">
      <c r="A40" s="20"/>
      <c r="B40" s="20"/>
      <c r="C40" s="20"/>
      <c r="D40" s="20"/>
      <c r="E40" s="43"/>
      <c r="F40" s="43"/>
      <c r="G40" s="46"/>
      <c r="H40" s="46"/>
      <c r="I40" s="46"/>
      <c r="J40" s="46"/>
      <c r="K40" s="46"/>
      <c r="L40" s="43"/>
      <c r="M40" s="43"/>
      <c r="N40" s="43"/>
      <c r="O40" s="43"/>
      <c r="P40" s="43"/>
      <c r="Q40" s="43"/>
      <c r="R40" s="16"/>
    </row>
    <row r="41" spans="1:18" ht="12.75" customHeight="1">
      <c r="A41" s="20"/>
      <c r="B41" s="20"/>
      <c r="C41" s="20"/>
      <c r="D41" s="20"/>
      <c r="E41" s="43"/>
      <c r="F41" s="43"/>
      <c r="G41" s="46"/>
      <c r="H41" s="46"/>
      <c r="I41" s="46"/>
      <c r="J41" s="46"/>
      <c r="K41" s="46"/>
      <c r="L41" s="43"/>
      <c r="M41" s="43"/>
      <c r="N41" s="43"/>
      <c r="O41" s="43"/>
      <c r="P41" s="43"/>
      <c r="Q41" s="43"/>
      <c r="R41" s="16"/>
    </row>
    <row r="42" spans="1:18" ht="12.75" customHeight="1">
      <c r="A42" s="20"/>
      <c r="B42" s="20"/>
      <c r="C42" s="20"/>
      <c r="D42" s="20"/>
      <c r="E42" s="43"/>
      <c r="F42" s="43"/>
      <c r="G42" s="46"/>
      <c r="H42" s="46"/>
      <c r="I42" s="46"/>
      <c r="J42" s="46"/>
      <c r="K42" s="46"/>
      <c r="L42" s="43"/>
      <c r="M42" s="43"/>
      <c r="N42" s="43"/>
      <c r="O42" s="43"/>
      <c r="P42" s="43"/>
      <c r="Q42" s="43"/>
      <c r="R42" s="16"/>
    </row>
    <row r="43" spans="1:18" ht="12.75" customHeight="1">
      <c r="A43" s="20"/>
      <c r="B43" s="20"/>
      <c r="C43" s="20"/>
      <c r="D43" s="20"/>
      <c r="E43" s="43"/>
      <c r="F43" s="43"/>
      <c r="G43" s="46"/>
      <c r="H43" s="46"/>
      <c r="I43" s="46"/>
      <c r="J43" s="46"/>
      <c r="K43" s="46"/>
      <c r="L43" s="43"/>
      <c r="M43" s="43"/>
      <c r="N43" s="43"/>
      <c r="O43" s="43"/>
      <c r="P43" s="43"/>
      <c r="Q43" s="43"/>
      <c r="R43" s="16"/>
    </row>
    <row r="44" spans="1:18" ht="12.75" customHeight="1">
      <c r="A44" s="20"/>
      <c r="B44" s="20"/>
      <c r="C44" s="20"/>
      <c r="D44" s="20"/>
      <c r="E44" s="43"/>
      <c r="F44" s="43"/>
      <c r="G44" s="46"/>
      <c r="H44" s="46"/>
      <c r="I44" s="46"/>
      <c r="J44" s="46"/>
      <c r="K44" s="46"/>
      <c r="L44" s="43"/>
      <c r="M44" s="43"/>
      <c r="N44" s="43"/>
      <c r="O44" s="43"/>
      <c r="P44" s="43"/>
      <c r="Q44" s="43"/>
      <c r="R44" s="16"/>
    </row>
    <row r="45" spans="1:18" ht="12.75" customHeight="1">
      <c r="A45" s="20"/>
      <c r="B45" s="20"/>
      <c r="C45" s="20"/>
      <c r="D45" s="20"/>
      <c r="E45" s="43"/>
      <c r="F45" s="43"/>
      <c r="G45" s="46"/>
      <c r="H45" s="46"/>
      <c r="I45" s="46"/>
      <c r="J45" s="46"/>
      <c r="K45" s="46"/>
      <c r="L45" s="43"/>
      <c r="M45" s="43"/>
      <c r="N45" s="43"/>
      <c r="O45" s="43"/>
      <c r="P45" s="43"/>
      <c r="Q45" s="43"/>
      <c r="R45" s="16"/>
    </row>
    <row r="46" spans="1:18" ht="12.75" customHeight="1">
      <c r="A46" s="20"/>
      <c r="B46" s="20"/>
      <c r="C46" s="20"/>
      <c r="D46" s="20"/>
      <c r="E46" s="43"/>
      <c r="F46" s="43"/>
      <c r="G46" s="46"/>
      <c r="H46" s="46"/>
      <c r="I46" s="46"/>
      <c r="J46" s="46"/>
      <c r="K46" s="46"/>
      <c r="L46" s="43"/>
      <c r="M46" s="43"/>
      <c r="N46" s="43"/>
      <c r="O46" s="43"/>
      <c r="P46" s="43"/>
      <c r="Q46" s="43"/>
      <c r="R46" s="16"/>
    </row>
    <row r="47" spans="1:18" ht="12.75" customHeight="1">
      <c r="A47" s="20"/>
      <c r="B47" s="20"/>
      <c r="C47" s="20"/>
      <c r="D47" s="20"/>
      <c r="E47" s="43"/>
      <c r="F47" s="43"/>
      <c r="G47" s="46"/>
      <c r="H47" s="46"/>
      <c r="I47" s="46"/>
      <c r="J47" s="46"/>
      <c r="K47" s="46"/>
      <c r="L47" s="43"/>
      <c r="M47" s="43"/>
      <c r="N47" s="43"/>
      <c r="O47" s="43"/>
      <c r="P47" s="43"/>
      <c r="Q47" s="43"/>
      <c r="R47" s="16"/>
    </row>
    <row r="48" spans="1:18" ht="12.75" customHeight="1">
      <c r="A48" s="20"/>
      <c r="B48" s="20"/>
      <c r="C48" s="20"/>
      <c r="D48" s="20"/>
      <c r="E48" s="43"/>
      <c r="F48" s="43"/>
      <c r="G48" s="46"/>
      <c r="H48" s="46"/>
      <c r="I48" s="46"/>
      <c r="J48" s="46"/>
      <c r="K48" s="46"/>
      <c r="L48" s="43"/>
      <c r="M48" s="43"/>
      <c r="N48" s="43"/>
      <c r="O48" s="43"/>
      <c r="P48" s="43"/>
      <c r="Q48" s="43"/>
      <c r="R48" s="16"/>
    </row>
    <row r="49" spans="1:18" ht="12.75" customHeight="1">
      <c r="A49" s="20"/>
      <c r="B49" s="20"/>
      <c r="C49" s="20"/>
      <c r="D49" s="20"/>
      <c r="E49" s="43"/>
      <c r="F49" s="43"/>
      <c r="G49" s="54"/>
      <c r="H49" s="54"/>
      <c r="I49" s="54"/>
      <c r="J49" s="54"/>
      <c r="K49" s="54"/>
      <c r="L49" s="43"/>
      <c r="M49" s="43"/>
      <c r="N49" s="43"/>
      <c r="O49" s="43"/>
      <c r="P49" s="43"/>
      <c r="Q49" s="43"/>
      <c r="R49" s="16"/>
    </row>
    <row r="50" spans="1:18" ht="12.75" customHeight="1">
      <c r="A50" s="20"/>
      <c r="B50" s="20"/>
      <c r="C50" s="20"/>
      <c r="D50" s="20"/>
      <c r="E50" s="43"/>
      <c r="F50" s="43"/>
      <c r="G50" s="50"/>
      <c r="H50" s="50"/>
      <c r="I50" s="50"/>
      <c r="J50" s="50"/>
      <c r="K50" s="50"/>
      <c r="L50" s="43"/>
      <c r="M50" s="43"/>
      <c r="N50" s="43"/>
      <c r="O50" s="43"/>
      <c r="P50" s="43"/>
      <c r="Q50" s="43"/>
      <c r="R50" s="16"/>
    </row>
    <row r="51" spans="1:18" ht="12.75" customHeight="1">
      <c r="A51" s="20"/>
      <c r="B51" s="20"/>
      <c r="C51" s="20"/>
      <c r="D51" s="20"/>
      <c r="E51" s="43"/>
      <c r="F51" s="43"/>
      <c r="G51" s="44"/>
      <c r="H51" s="44"/>
      <c r="I51" s="44"/>
      <c r="J51" s="44"/>
      <c r="K51" s="44"/>
      <c r="L51" s="43"/>
      <c r="M51" s="43"/>
      <c r="N51" s="43"/>
      <c r="O51" s="43"/>
      <c r="P51" s="43"/>
      <c r="Q51" s="43"/>
      <c r="R51" s="16"/>
    </row>
    <row r="52" spans="1:18" ht="12.75" customHeight="1">
      <c r="A52" s="20"/>
      <c r="B52" s="20"/>
      <c r="C52" s="20"/>
      <c r="D52" s="20"/>
      <c r="E52" s="43"/>
      <c r="F52" s="43"/>
      <c r="G52" s="43"/>
      <c r="H52" s="43"/>
      <c r="I52" s="43"/>
      <c r="J52" s="43"/>
      <c r="K52" s="43"/>
      <c r="L52" s="43"/>
      <c r="M52" s="43"/>
      <c r="N52" s="43"/>
      <c r="O52" s="43"/>
      <c r="P52" s="43"/>
      <c r="Q52" s="43"/>
      <c r="R52" s="16"/>
    </row>
    <row r="53" spans="1:18" ht="12.75" customHeight="1">
      <c r="A53" s="20"/>
      <c r="B53" s="20"/>
      <c r="C53" s="20"/>
      <c r="D53" s="20"/>
      <c r="E53" s="43"/>
      <c r="F53" s="43"/>
      <c r="G53" s="43"/>
      <c r="H53" s="43"/>
      <c r="I53" s="43"/>
      <c r="J53" s="43"/>
      <c r="K53" s="43"/>
      <c r="L53" s="43"/>
      <c r="M53" s="43"/>
      <c r="N53" s="43"/>
      <c r="O53" s="43"/>
      <c r="P53" s="43"/>
      <c r="Q53" s="43"/>
      <c r="R53" s="16"/>
    </row>
    <row r="54" spans="1:18" ht="12.75" customHeight="1">
      <c r="A54" s="20"/>
      <c r="B54" s="20"/>
      <c r="C54" s="20"/>
      <c r="D54" s="20"/>
      <c r="E54" s="16"/>
      <c r="F54" s="16"/>
      <c r="G54" s="16"/>
      <c r="I54" s="16"/>
      <c r="J54" s="16"/>
      <c r="K54" s="16"/>
      <c r="L54" s="16"/>
      <c r="M54" s="16"/>
      <c r="N54" s="16"/>
      <c r="O54" s="16"/>
      <c r="P54" s="16"/>
      <c r="Q54" s="16"/>
      <c r="R54" s="16"/>
    </row>
    <row r="55" spans="1:18" ht="12.75" customHeight="1">
      <c r="A55" s="20"/>
      <c r="B55" s="20"/>
      <c r="C55" s="20"/>
      <c r="D55" s="20"/>
      <c r="E55" s="16"/>
      <c r="F55" s="16"/>
      <c r="G55" s="16"/>
      <c r="I55" s="16"/>
      <c r="J55" s="16"/>
      <c r="K55" s="16"/>
      <c r="L55" s="16"/>
      <c r="M55" s="16"/>
      <c r="N55" s="16"/>
      <c r="O55" s="16"/>
      <c r="P55" s="16"/>
      <c r="Q55" s="16"/>
      <c r="R55" s="16"/>
    </row>
    <row r="56" spans="1:18" ht="12.75" customHeight="1"/>
    <row r="57" spans="1:18" ht="12.75" customHeight="1"/>
    <row r="58" spans="1:18" ht="12.75" customHeight="1"/>
    <row r="59" spans="1:18" ht="12.75" customHeight="1"/>
    <row r="60" spans="1:18" ht="12.75" customHeight="1"/>
    <row r="61" spans="1:18" ht="12.75" customHeight="1"/>
    <row r="62" spans="1:18" ht="12.75" customHeight="1"/>
    <row r="63" spans="1:18" ht="12.75" customHeight="1"/>
    <row r="64" spans="1: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sheetData>
  <sheetProtection sheet="1" objects="1" scenarios="1"/>
  <phoneticPr fontId="4" type="noConversion"/>
  <pageMargins left="0.75" right="0.75" top="1" bottom="1" header="0.5" footer="0.5"/>
  <pageSetup scale="75" orientation="landscape" blackAndWhite="1" horizontalDpi="300" verticalDpi="300"/>
  <headerFooter alignWithMargins="0"/>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73"/>
  <sheetViews>
    <sheetView showGridLines="0" showRowColHeaders="0" workbookViewId="0">
      <selection activeCell="G12" sqref="G12"/>
    </sheetView>
  </sheetViews>
  <sheetFormatPr defaultColWidth="8.85546875" defaultRowHeight="12"/>
  <cols>
    <col min="1" max="4" width="3" style="1" customWidth="1"/>
    <col min="5" max="5" width="20.85546875" customWidth="1"/>
    <col min="6" max="6" width="5.85546875" customWidth="1"/>
    <col min="7" max="7" width="18.85546875" customWidth="1"/>
    <col min="8" max="8" width="8.85546875" style="16" customWidth="1"/>
    <col min="9" max="11" width="18.85546875" customWidth="1"/>
    <col min="12" max="12" width="5.85546875" customWidth="1"/>
  </cols>
  <sheetData>
    <row r="1" spans="1:18" ht="15.75">
      <c r="A1" s="5" t="str">
        <f>'1. Required Start-Up Funds'!A1</f>
        <v xml:space="preserve"> </v>
      </c>
      <c r="Q1" s="12"/>
    </row>
    <row r="2" spans="1:18" ht="15.75">
      <c r="A2" s="5" t="s">
        <v>236</v>
      </c>
    </row>
    <row r="3" spans="1:18" ht="12.75" customHeight="1">
      <c r="E3" s="1"/>
      <c r="F3" s="37"/>
      <c r="G3" s="37"/>
      <c r="H3" s="43"/>
      <c r="I3" s="37"/>
      <c r="J3" s="37"/>
      <c r="K3" s="37"/>
      <c r="L3" s="37"/>
      <c r="M3" s="37"/>
      <c r="N3" s="37"/>
      <c r="O3" s="37"/>
      <c r="P3" s="37"/>
      <c r="Q3" s="37"/>
    </row>
    <row r="4" spans="1:18" ht="12.75" customHeight="1">
      <c r="E4" s="37"/>
      <c r="F4" s="37"/>
      <c r="G4" s="37"/>
      <c r="H4" s="43"/>
      <c r="I4" s="37"/>
      <c r="J4" s="37"/>
      <c r="K4" s="37"/>
      <c r="L4" s="37"/>
      <c r="M4" s="37"/>
      <c r="N4" s="37"/>
      <c r="O4" s="37"/>
      <c r="P4" s="37"/>
      <c r="Q4" s="37"/>
    </row>
    <row r="5" spans="1:18" ht="12.75" customHeight="1">
      <c r="E5" s="37"/>
      <c r="F5" s="37"/>
      <c r="G5" s="37"/>
      <c r="H5" s="43"/>
      <c r="I5" s="37"/>
      <c r="J5" s="37"/>
      <c r="K5" s="37"/>
      <c r="L5" s="37"/>
      <c r="M5" s="37"/>
      <c r="N5" s="37"/>
      <c r="O5" s="37"/>
      <c r="P5" s="37"/>
      <c r="Q5" s="37"/>
    </row>
    <row r="6" spans="1:18" ht="12.75" customHeight="1">
      <c r="A6" s="20" t="s">
        <v>236</v>
      </c>
      <c r="B6" s="20"/>
      <c r="C6" s="20"/>
      <c r="D6" s="20"/>
      <c r="E6" s="43"/>
      <c r="F6" s="41"/>
      <c r="G6" s="41" t="s">
        <v>238</v>
      </c>
      <c r="H6" s="41"/>
      <c r="I6" s="41" t="s">
        <v>239</v>
      </c>
      <c r="J6" s="41"/>
      <c r="K6" s="41"/>
      <c r="L6" s="43"/>
      <c r="M6" s="41"/>
      <c r="N6" s="43"/>
      <c r="O6" s="43"/>
      <c r="P6" s="43"/>
      <c r="Q6" s="43"/>
      <c r="R6" s="16"/>
    </row>
    <row r="7" spans="1:18" ht="12.75" customHeight="1">
      <c r="A7" s="20"/>
      <c r="B7" s="20" t="s">
        <v>237</v>
      </c>
      <c r="C7" s="20"/>
      <c r="D7" s="20"/>
      <c r="E7" s="43"/>
      <c r="F7" s="43"/>
      <c r="G7" s="44">
        <f>'8. Income Statement'!Q16</f>
        <v>0</v>
      </c>
      <c r="H7" s="43"/>
      <c r="I7" s="80">
        <v>1</v>
      </c>
      <c r="J7" s="43"/>
      <c r="K7" s="43"/>
      <c r="L7" s="43"/>
      <c r="M7" s="43"/>
      <c r="N7" s="43"/>
      <c r="O7" s="43"/>
      <c r="P7" s="43"/>
      <c r="Q7" s="43"/>
      <c r="R7" s="16"/>
    </row>
    <row r="8" spans="1:18" ht="12.75" customHeight="1" thickBot="1">
      <c r="A8" s="20"/>
      <c r="B8" s="20" t="s">
        <v>170</v>
      </c>
      <c r="C8" s="20"/>
      <c r="D8" s="20"/>
      <c r="E8" s="43"/>
      <c r="F8" s="43"/>
      <c r="G8" s="59">
        <f>'8. Income Statement'!Q26</f>
        <v>0</v>
      </c>
      <c r="H8" s="43"/>
      <c r="I8" s="95">
        <f>IF(G8=0,0,G8/G7)</f>
        <v>0</v>
      </c>
      <c r="J8" s="80"/>
      <c r="K8" s="80"/>
      <c r="L8" s="43"/>
      <c r="M8" s="43"/>
      <c r="N8" s="43"/>
      <c r="O8" s="43"/>
      <c r="P8" s="43"/>
      <c r="Q8" s="43"/>
      <c r="R8" s="16"/>
    </row>
    <row r="9" spans="1:18" ht="12.75" customHeight="1">
      <c r="A9" s="20"/>
      <c r="B9" s="20" t="s">
        <v>278</v>
      </c>
      <c r="C9" s="20"/>
      <c r="D9" s="20"/>
      <c r="E9" s="43"/>
      <c r="F9" s="43"/>
      <c r="G9" s="46">
        <f>'8. Income Statement'!Q28</f>
        <v>0</v>
      </c>
      <c r="H9" s="43"/>
      <c r="I9" s="80">
        <f>IF(G9=0,0,G9/G7)</f>
        <v>0</v>
      </c>
      <c r="J9" s="80"/>
      <c r="K9" s="80"/>
      <c r="L9" s="43"/>
      <c r="M9" s="43"/>
      <c r="N9" s="43"/>
      <c r="O9" s="43"/>
      <c r="P9" s="43"/>
      <c r="Q9" s="43"/>
      <c r="R9" s="16"/>
    </row>
    <row r="10" spans="1:18" ht="12.75" customHeight="1">
      <c r="A10" s="20"/>
      <c r="B10" s="20"/>
      <c r="C10" s="20"/>
      <c r="D10" s="20"/>
      <c r="E10" s="43"/>
      <c r="F10" s="43"/>
      <c r="G10" s="46"/>
      <c r="H10" s="43"/>
      <c r="I10" s="80"/>
      <c r="J10" s="80"/>
      <c r="K10" s="80"/>
      <c r="L10" s="43"/>
      <c r="M10" s="43"/>
      <c r="N10" s="43"/>
      <c r="O10" s="43"/>
      <c r="P10" s="43"/>
      <c r="Q10" s="43"/>
      <c r="R10" s="16"/>
    </row>
    <row r="11" spans="1:18" ht="12.75" customHeight="1">
      <c r="A11" s="20"/>
      <c r="B11" s="20" t="s">
        <v>294</v>
      </c>
      <c r="C11" s="20"/>
      <c r="D11" s="20"/>
      <c r="E11" s="43"/>
      <c r="F11" s="43"/>
      <c r="G11" s="46">
        <f>'2a. Salaries and Wages Summary'!O36</f>
        <v>0</v>
      </c>
      <c r="H11" s="43"/>
      <c r="I11" s="80"/>
      <c r="J11" s="80"/>
      <c r="K11" s="80"/>
      <c r="L11" s="43"/>
      <c r="M11" s="43"/>
      <c r="N11" s="43"/>
      <c r="O11" s="43"/>
      <c r="P11" s="43"/>
      <c r="Q11" s="43"/>
      <c r="R11" s="16"/>
    </row>
    <row r="12" spans="1:18" ht="12.75" customHeight="1" thickBot="1">
      <c r="A12" s="20"/>
      <c r="B12" s="20" t="s">
        <v>313</v>
      </c>
      <c r="C12" s="20"/>
      <c r="D12" s="20"/>
      <c r="E12" s="43"/>
      <c r="F12" s="43"/>
      <c r="G12" s="59">
        <f>'3. Fixed Operating Expenses'!I44</f>
        <v>0</v>
      </c>
      <c r="H12" s="43"/>
      <c r="I12" s="43"/>
      <c r="J12" s="43"/>
      <c r="K12" s="43"/>
      <c r="L12" s="43"/>
      <c r="M12" s="43"/>
      <c r="N12" s="43"/>
      <c r="O12" s="43"/>
      <c r="P12" s="43"/>
      <c r="Q12" s="43"/>
      <c r="R12" s="16"/>
    </row>
    <row r="13" spans="1:18" ht="12.75" customHeight="1">
      <c r="A13" s="20"/>
      <c r="B13" s="1" t="s">
        <v>172</v>
      </c>
      <c r="G13" s="21">
        <f>SUM(G11:G12)</f>
        <v>0</v>
      </c>
      <c r="H13" s="43"/>
      <c r="I13" s="43"/>
      <c r="J13" s="43"/>
      <c r="K13" s="43"/>
      <c r="L13" s="43"/>
      <c r="M13" s="43"/>
      <c r="N13" s="43"/>
      <c r="O13" s="43"/>
      <c r="P13" s="43"/>
      <c r="Q13" s="43"/>
      <c r="R13" s="16"/>
    </row>
    <row r="14" spans="1:18" ht="12.75" customHeight="1">
      <c r="A14" s="20"/>
      <c r="H14" s="44"/>
      <c r="I14" s="46"/>
      <c r="J14" s="46"/>
      <c r="K14" s="46"/>
      <c r="L14" s="43"/>
      <c r="M14" s="43"/>
      <c r="N14" s="43"/>
      <c r="O14" s="43"/>
      <c r="P14" s="43"/>
      <c r="Q14" s="43"/>
      <c r="R14" s="16"/>
    </row>
    <row r="15" spans="1:18" ht="12.75" customHeight="1" thickBot="1">
      <c r="A15" s="20"/>
      <c r="B15" s="20" t="s">
        <v>240</v>
      </c>
      <c r="C15" s="20"/>
      <c r="D15" s="20"/>
      <c r="E15" s="43"/>
      <c r="F15" s="43"/>
      <c r="G15" s="59">
        <f>G13</f>
        <v>0</v>
      </c>
      <c r="H15" s="46"/>
      <c r="I15" s="46"/>
      <c r="J15" s="46"/>
      <c r="K15" s="46"/>
      <c r="L15" s="43"/>
      <c r="M15" s="43"/>
      <c r="N15" s="43"/>
      <c r="O15" s="43"/>
      <c r="P15" s="43"/>
      <c r="Q15" s="43"/>
      <c r="R15" s="16"/>
    </row>
    <row r="16" spans="1:18" ht="12.75" customHeight="1">
      <c r="A16" s="20"/>
      <c r="B16" s="20"/>
      <c r="C16" s="20"/>
      <c r="D16" s="20"/>
      <c r="E16" s="43"/>
      <c r="F16" s="43"/>
      <c r="G16" s="80">
        <f>I9</f>
        <v>0</v>
      </c>
      <c r="H16" s="46"/>
      <c r="I16" s="46"/>
      <c r="J16" s="46"/>
      <c r="K16" s="46"/>
      <c r="L16" s="43"/>
      <c r="M16" s="43"/>
      <c r="N16" s="43"/>
      <c r="O16" s="43"/>
      <c r="P16" s="43"/>
      <c r="Q16" s="43"/>
      <c r="R16" s="16"/>
    </row>
    <row r="17" spans="1:18" ht="12.75" customHeight="1" thickBot="1">
      <c r="A17" s="20"/>
      <c r="B17" s="20"/>
      <c r="C17" s="20"/>
      <c r="D17" s="20"/>
      <c r="E17" s="43"/>
      <c r="F17" s="43"/>
      <c r="G17" s="59"/>
      <c r="H17" s="46"/>
      <c r="I17" s="46"/>
      <c r="J17" s="46"/>
      <c r="K17" s="46"/>
      <c r="L17" s="43"/>
      <c r="M17" s="43"/>
      <c r="N17" s="43"/>
      <c r="O17" s="43"/>
      <c r="P17" s="43"/>
      <c r="Q17" s="43"/>
      <c r="R17" s="16"/>
    </row>
    <row r="18" spans="1:18" ht="12.75" customHeight="1" thickBot="1">
      <c r="A18" s="20"/>
      <c r="B18" s="20" t="s">
        <v>241</v>
      </c>
      <c r="C18" s="20"/>
      <c r="D18" s="20"/>
      <c r="E18" s="43"/>
      <c r="F18" s="43"/>
      <c r="G18" s="61">
        <f>IF(G16=0,0,G15/G16)</f>
        <v>0</v>
      </c>
      <c r="H18" s="46"/>
      <c r="I18" s="46"/>
      <c r="J18" s="46"/>
      <c r="K18" s="46"/>
      <c r="L18" s="43"/>
      <c r="M18" s="43"/>
      <c r="N18" s="43"/>
      <c r="O18" s="43"/>
      <c r="P18" s="43"/>
      <c r="Q18" s="43"/>
      <c r="R18" s="16"/>
    </row>
    <row r="19" spans="1:18" ht="12.75" customHeight="1" thickTop="1">
      <c r="A19" s="20"/>
      <c r="B19" s="20"/>
      <c r="C19" s="20"/>
      <c r="D19" s="20"/>
      <c r="E19" s="43"/>
      <c r="F19" s="43"/>
      <c r="G19" s="80"/>
      <c r="H19" s="46"/>
      <c r="I19" s="46"/>
      <c r="J19" s="46"/>
      <c r="K19" s="46"/>
      <c r="L19" s="43"/>
      <c r="M19" s="43"/>
      <c r="N19" s="43"/>
      <c r="O19" s="43"/>
      <c r="P19" s="43"/>
      <c r="Q19" s="43"/>
      <c r="R19" s="16"/>
    </row>
    <row r="20" spans="1:18" ht="12.75" customHeight="1">
      <c r="A20" s="20"/>
      <c r="B20" s="20"/>
      <c r="C20" s="20"/>
      <c r="D20" s="20"/>
      <c r="E20" s="43"/>
      <c r="F20" s="43"/>
      <c r="G20" s="80"/>
      <c r="H20" s="46"/>
      <c r="I20" s="46"/>
      <c r="J20" s="46"/>
      <c r="K20" s="46"/>
      <c r="L20" s="43"/>
      <c r="M20" s="43"/>
      <c r="N20" s="43"/>
      <c r="O20" s="43"/>
      <c r="P20" s="43"/>
      <c r="Q20" s="43"/>
      <c r="R20" s="16"/>
    </row>
    <row r="21" spans="1:18" ht="12.75" customHeight="1">
      <c r="A21" s="20"/>
      <c r="B21" s="20"/>
      <c r="C21" s="20"/>
      <c r="D21" s="20"/>
      <c r="E21" s="43"/>
      <c r="F21" s="43"/>
      <c r="G21" s="94"/>
      <c r="H21" s="46"/>
      <c r="I21" s="46"/>
      <c r="J21" s="46"/>
      <c r="K21" s="46"/>
      <c r="L21" s="43"/>
      <c r="M21" s="43"/>
      <c r="N21" s="43"/>
      <c r="O21" s="43"/>
      <c r="P21" s="43"/>
      <c r="Q21" s="43"/>
      <c r="R21" s="16"/>
    </row>
    <row r="22" spans="1:18" ht="12.75" customHeight="1">
      <c r="A22" s="20"/>
      <c r="B22" s="20"/>
      <c r="C22" s="20"/>
      <c r="D22" s="20"/>
      <c r="E22" s="43"/>
      <c r="F22" s="43"/>
      <c r="G22" s="46"/>
      <c r="H22" s="46"/>
      <c r="I22" s="46"/>
      <c r="J22" s="46"/>
      <c r="K22" s="46"/>
      <c r="L22" s="43"/>
      <c r="M22" s="43"/>
      <c r="N22" s="43"/>
      <c r="O22" s="43"/>
      <c r="P22" s="43"/>
      <c r="Q22" s="43"/>
      <c r="R22" s="16"/>
    </row>
    <row r="23" spans="1:18" ht="12.75" customHeight="1">
      <c r="A23" s="20"/>
      <c r="B23" s="20"/>
      <c r="C23" s="20"/>
      <c r="D23" s="20"/>
      <c r="E23" s="43"/>
      <c r="F23" s="43"/>
      <c r="G23" s="46"/>
      <c r="H23" s="46"/>
      <c r="I23" s="46"/>
      <c r="J23" s="46"/>
      <c r="K23" s="46"/>
      <c r="L23" s="43"/>
      <c r="M23" s="43"/>
      <c r="N23" s="43"/>
      <c r="O23" s="43"/>
      <c r="P23" s="43"/>
      <c r="Q23" s="43"/>
      <c r="R23" s="16"/>
    </row>
    <row r="24" spans="1:18" ht="12.75" customHeight="1">
      <c r="A24" s="20"/>
      <c r="B24" s="20"/>
      <c r="C24" s="20"/>
      <c r="D24" s="20"/>
      <c r="E24" s="43"/>
      <c r="F24" s="43"/>
      <c r="G24" s="58"/>
      <c r="H24" s="46"/>
      <c r="I24" s="46"/>
      <c r="J24" s="46"/>
      <c r="K24" s="46"/>
      <c r="L24" s="43"/>
      <c r="M24" s="43"/>
      <c r="N24" s="43"/>
      <c r="O24" s="43"/>
      <c r="P24" s="43"/>
      <c r="Q24" s="43"/>
      <c r="R24" s="16"/>
    </row>
    <row r="25" spans="1:18" ht="12.75" customHeight="1">
      <c r="A25" s="20"/>
      <c r="B25" s="20"/>
      <c r="C25" s="20"/>
      <c r="D25" s="20"/>
      <c r="E25" s="43"/>
      <c r="F25" s="43"/>
      <c r="G25" s="80"/>
      <c r="H25" s="46"/>
      <c r="I25" s="46"/>
      <c r="J25" s="46"/>
      <c r="K25" s="46"/>
      <c r="L25" s="43"/>
      <c r="M25" s="43"/>
      <c r="N25" s="43"/>
      <c r="O25" s="43"/>
      <c r="P25" s="43"/>
      <c r="Q25" s="43"/>
      <c r="R25" s="16"/>
    </row>
    <row r="26" spans="1:18" ht="12.75" customHeight="1">
      <c r="A26" s="20"/>
      <c r="B26" s="20"/>
      <c r="C26" s="20"/>
      <c r="D26" s="20"/>
      <c r="E26" s="43"/>
      <c r="F26" s="56"/>
      <c r="G26" s="46"/>
      <c r="H26" s="46"/>
      <c r="I26" s="46"/>
      <c r="J26" s="46"/>
      <c r="K26" s="46"/>
      <c r="L26" s="43"/>
      <c r="M26" s="43"/>
      <c r="N26" s="43"/>
      <c r="O26" s="43"/>
      <c r="P26" s="43"/>
      <c r="Q26" s="43"/>
      <c r="R26" s="16"/>
    </row>
    <row r="27" spans="1:18" ht="12.75" customHeight="1">
      <c r="A27" s="20"/>
      <c r="B27" s="20"/>
      <c r="C27" s="20"/>
      <c r="D27" s="20"/>
      <c r="E27" s="43"/>
      <c r="F27" s="56"/>
      <c r="G27" s="46"/>
      <c r="H27" s="46"/>
      <c r="I27" s="46"/>
      <c r="J27" s="46"/>
      <c r="K27" s="46"/>
      <c r="L27" s="43"/>
      <c r="M27" s="43"/>
      <c r="N27" s="43"/>
      <c r="O27" s="43"/>
      <c r="P27" s="43"/>
      <c r="Q27" s="43"/>
      <c r="R27" s="16"/>
    </row>
    <row r="28" spans="1:18" ht="12.75" customHeight="1">
      <c r="A28" s="20"/>
      <c r="B28" s="20"/>
      <c r="C28" s="20"/>
      <c r="D28" s="20"/>
      <c r="E28" s="43"/>
      <c r="F28" s="58"/>
      <c r="G28" s="80"/>
      <c r="H28" s="46"/>
      <c r="I28" s="46"/>
      <c r="J28" s="46"/>
      <c r="K28" s="46"/>
      <c r="L28" s="43"/>
      <c r="M28" s="43"/>
      <c r="N28" s="43"/>
      <c r="O28" s="43"/>
      <c r="P28" s="43"/>
      <c r="Q28" s="43"/>
      <c r="R28" s="16"/>
    </row>
    <row r="29" spans="1:18" ht="12.75" customHeight="1">
      <c r="A29" s="20"/>
      <c r="B29" s="20"/>
      <c r="C29" s="20"/>
      <c r="D29" s="20"/>
      <c r="E29" s="43"/>
      <c r="F29" s="43"/>
      <c r="G29" s="46"/>
      <c r="H29" s="46"/>
      <c r="I29" s="46"/>
      <c r="J29" s="46"/>
      <c r="K29" s="46"/>
      <c r="L29" s="43"/>
      <c r="M29" s="43"/>
      <c r="N29" s="43"/>
      <c r="O29" s="43"/>
      <c r="P29" s="43"/>
      <c r="Q29" s="43"/>
      <c r="R29" s="16"/>
    </row>
    <row r="30" spans="1:18" ht="12.75" customHeight="1">
      <c r="A30" s="20"/>
      <c r="B30" s="20"/>
      <c r="C30" s="20"/>
      <c r="D30" s="20"/>
      <c r="E30" s="43"/>
      <c r="F30" s="43"/>
      <c r="G30" s="46"/>
      <c r="H30" s="46"/>
      <c r="I30" s="46"/>
      <c r="J30" s="46"/>
      <c r="K30" s="46"/>
      <c r="L30" s="43"/>
      <c r="M30" s="43"/>
      <c r="N30" s="43"/>
      <c r="O30" s="43"/>
      <c r="P30" s="43"/>
      <c r="Q30" s="43"/>
      <c r="R30" s="16"/>
    </row>
    <row r="31" spans="1:18" ht="12.75" customHeight="1">
      <c r="A31" s="20"/>
      <c r="B31" s="20"/>
      <c r="C31" s="20"/>
      <c r="D31" s="20"/>
      <c r="E31" s="43"/>
      <c r="F31" s="56"/>
      <c r="G31" s="56"/>
      <c r="H31" s="46"/>
      <c r="I31" s="46"/>
      <c r="J31" s="46"/>
      <c r="K31" s="46"/>
      <c r="L31" s="43"/>
      <c r="M31" s="43"/>
      <c r="N31" s="43"/>
      <c r="O31" s="43"/>
      <c r="P31" s="43"/>
      <c r="Q31" s="43"/>
      <c r="R31" s="16"/>
    </row>
    <row r="32" spans="1:18" ht="12.75" customHeight="1">
      <c r="A32" s="20"/>
      <c r="B32" s="20"/>
      <c r="C32" s="20"/>
      <c r="D32" s="20"/>
      <c r="E32" s="43"/>
      <c r="F32" s="58"/>
      <c r="G32" s="46"/>
      <c r="H32" s="46"/>
      <c r="I32" s="46"/>
      <c r="J32" s="46"/>
      <c r="K32" s="46"/>
      <c r="L32" s="43"/>
      <c r="M32" s="43"/>
      <c r="N32" s="43"/>
      <c r="O32" s="43"/>
      <c r="P32" s="43"/>
      <c r="Q32" s="43"/>
      <c r="R32" s="16"/>
    </row>
    <row r="33" spans="1:18" ht="12.75" customHeight="1">
      <c r="A33" s="20"/>
      <c r="B33" s="20"/>
      <c r="C33" s="20"/>
      <c r="D33" s="20"/>
      <c r="E33" s="43"/>
      <c r="F33" s="43"/>
      <c r="G33" s="46"/>
      <c r="H33" s="46"/>
      <c r="I33" s="46"/>
      <c r="J33" s="46"/>
      <c r="K33" s="46"/>
      <c r="L33" s="43"/>
      <c r="M33" s="43"/>
      <c r="N33" s="43"/>
      <c r="O33" s="43"/>
      <c r="P33" s="43"/>
      <c r="Q33" s="43"/>
      <c r="R33" s="16"/>
    </row>
    <row r="34" spans="1:18" ht="12.75" customHeight="1">
      <c r="A34" s="20"/>
      <c r="B34" s="20"/>
      <c r="C34" s="20"/>
      <c r="D34" s="20"/>
      <c r="E34" s="43"/>
      <c r="F34" s="43"/>
      <c r="G34" s="46"/>
      <c r="H34" s="46"/>
      <c r="I34" s="46"/>
      <c r="J34" s="46"/>
      <c r="K34" s="46"/>
      <c r="L34" s="43"/>
      <c r="M34" s="43"/>
      <c r="N34" s="43"/>
      <c r="O34" s="43"/>
      <c r="P34" s="43"/>
      <c r="Q34" s="43"/>
      <c r="R34" s="16"/>
    </row>
    <row r="35" spans="1:18" ht="12.75" customHeight="1">
      <c r="A35" s="20"/>
      <c r="B35" s="20"/>
      <c r="C35" s="20"/>
      <c r="D35" s="20"/>
      <c r="E35" s="43"/>
      <c r="F35" s="43"/>
      <c r="G35" s="46"/>
      <c r="H35" s="46"/>
      <c r="I35" s="46"/>
      <c r="J35" s="46"/>
      <c r="K35" s="46"/>
      <c r="L35" s="43"/>
      <c r="M35" s="43"/>
      <c r="N35" s="43"/>
      <c r="O35" s="43"/>
      <c r="P35" s="43"/>
      <c r="Q35" s="43"/>
      <c r="R35" s="16"/>
    </row>
    <row r="36" spans="1:18" ht="12.75" customHeight="1">
      <c r="A36" s="20"/>
      <c r="B36" s="20"/>
      <c r="C36" s="20"/>
      <c r="D36" s="20"/>
      <c r="E36" s="43"/>
      <c r="F36" s="43"/>
      <c r="G36" s="46"/>
      <c r="H36" s="46"/>
      <c r="I36" s="46"/>
      <c r="J36" s="46"/>
      <c r="K36" s="46"/>
      <c r="L36" s="43"/>
      <c r="M36" s="43"/>
      <c r="N36" s="43"/>
      <c r="O36" s="43"/>
      <c r="P36" s="43"/>
      <c r="Q36" s="43"/>
      <c r="R36" s="16"/>
    </row>
    <row r="37" spans="1:18" ht="12.75" customHeight="1">
      <c r="A37" s="20"/>
      <c r="B37" s="20"/>
      <c r="C37" s="20"/>
      <c r="D37" s="20"/>
      <c r="E37" s="43"/>
      <c r="F37" s="43"/>
      <c r="G37" s="46"/>
      <c r="H37" s="46"/>
      <c r="I37" s="46"/>
      <c r="J37" s="46"/>
      <c r="K37" s="46"/>
      <c r="L37" s="43"/>
      <c r="M37" s="43"/>
      <c r="N37" s="43"/>
      <c r="O37" s="43"/>
      <c r="P37" s="43"/>
      <c r="Q37" s="43"/>
      <c r="R37" s="16"/>
    </row>
    <row r="38" spans="1:18" ht="12.75" customHeight="1">
      <c r="A38" s="20"/>
      <c r="B38" s="20"/>
      <c r="C38" s="20"/>
      <c r="D38" s="20"/>
      <c r="E38" s="43"/>
      <c r="F38" s="43"/>
      <c r="G38" s="46"/>
      <c r="H38" s="46"/>
      <c r="I38" s="46"/>
      <c r="J38" s="46"/>
      <c r="K38" s="46"/>
      <c r="L38" s="43"/>
      <c r="M38" s="43"/>
      <c r="N38" s="43"/>
      <c r="O38" s="43"/>
      <c r="P38" s="43"/>
      <c r="Q38" s="43"/>
      <c r="R38" s="16"/>
    </row>
    <row r="39" spans="1:18" ht="12.75" customHeight="1">
      <c r="A39" s="20"/>
      <c r="B39" s="20"/>
      <c r="C39" s="20"/>
      <c r="D39" s="20"/>
      <c r="E39" s="43"/>
      <c r="F39" s="43"/>
      <c r="G39" s="46"/>
      <c r="H39" s="46"/>
      <c r="I39" s="46"/>
      <c r="J39" s="46"/>
      <c r="K39" s="46"/>
      <c r="L39" s="43"/>
      <c r="M39" s="43"/>
      <c r="N39" s="43"/>
      <c r="O39" s="43"/>
      <c r="P39" s="43"/>
      <c r="Q39" s="43"/>
      <c r="R39" s="16"/>
    </row>
    <row r="40" spans="1:18" ht="12.75" customHeight="1">
      <c r="A40" s="20"/>
      <c r="B40" s="20"/>
      <c r="C40" s="20"/>
      <c r="D40" s="20"/>
      <c r="E40" s="43"/>
      <c r="F40" s="43"/>
      <c r="G40" s="46"/>
      <c r="H40" s="46"/>
      <c r="I40" s="46"/>
      <c r="J40" s="46"/>
      <c r="K40" s="46"/>
      <c r="L40" s="43"/>
      <c r="M40" s="43"/>
      <c r="N40" s="43"/>
      <c r="O40" s="43"/>
      <c r="P40" s="43"/>
      <c r="Q40" s="43"/>
      <c r="R40" s="16"/>
    </row>
    <row r="41" spans="1:18" ht="12.75" customHeight="1">
      <c r="A41" s="20"/>
      <c r="B41" s="20"/>
      <c r="C41" s="20"/>
      <c r="D41" s="20"/>
      <c r="E41" s="43"/>
      <c r="F41" s="43"/>
      <c r="G41" s="46"/>
      <c r="H41" s="46"/>
      <c r="I41" s="46"/>
      <c r="J41" s="46"/>
      <c r="K41" s="46"/>
      <c r="L41" s="43"/>
      <c r="M41" s="43"/>
      <c r="N41" s="43"/>
      <c r="O41" s="43"/>
      <c r="P41" s="43"/>
      <c r="Q41" s="43"/>
      <c r="R41" s="16"/>
    </row>
    <row r="42" spans="1:18" ht="12.75" customHeight="1">
      <c r="A42" s="20"/>
      <c r="B42" s="20"/>
      <c r="C42" s="20"/>
      <c r="D42" s="20"/>
      <c r="E42" s="43"/>
      <c r="F42" s="43"/>
      <c r="G42" s="46"/>
      <c r="H42" s="46"/>
      <c r="I42" s="46"/>
      <c r="J42" s="46"/>
      <c r="K42" s="46"/>
      <c r="L42" s="43"/>
      <c r="M42" s="43"/>
      <c r="N42" s="43"/>
      <c r="O42" s="43"/>
      <c r="P42" s="43"/>
      <c r="Q42" s="43"/>
      <c r="R42" s="16"/>
    </row>
    <row r="43" spans="1:18" ht="12.75" customHeight="1">
      <c r="A43" s="20"/>
      <c r="B43" s="20"/>
      <c r="C43" s="20"/>
      <c r="D43" s="20"/>
      <c r="E43" s="43"/>
      <c r="F43" s="43"/>
      <c r="G43" s="46"/>
      <c r="H43" s="46"/>
      <c r="I43" s="46"/>
      <c r="J43" s="46"/>
      <c r="K43" s="46"/>
      <c r="L43" s="43"/>
      <c r="M43" s="43"/>
      <c r="N43" s="43"/>
      <c r="O43" s="43"/>
      <c r="P43" s="43"/>
      <c r="Q43" s="43"/>
      <c r="R43" s="16"/>
    </row>
    <row r="44" spans="1:18" ht="12.75" customHeight="1">
      <c r="A44" s="20"/>
      <c r="B44" s="20"/>
      <c r="C44" s="20"/>
      <c r="D44" s="20"/>
      <c r="E44" s="43"/>
      <c r="F44" s="43"/>
      <c r="G44" s="46"/>
      <c r="H44" s="46"/>
      <c r="I44" s="46"/>
      <c r="J44" s="46"/>
      <c r="K44" s="46"/>
      <c r="L44" s="43"/>
      <c r="M44" s="43"/>
      <c r="N44" s="43"/>
      <c r="O44" s="43"/>
      <c r="P44" s="43"/>
      <c r="Q44" s="43"/>
      <c r="R44" s="16"/>
    </row>
    <row r="45" spans="1:18" ht="12.75" customHeight="1">
      <c r="A45" s="20"/>
      <c r="B45" s="20"/>
      <c r="C45" s="20"/>
      <c r="D45" s="20"/>
      <c r="E45" s="43"/>
      <c r="F45" s="43"/>
      <c r="G45" s="46"/>
      <c r="H45" s="46"/>
      <c r="I45" s="46"/>
      <c r="J45" s="46"/>
      <c r="K45" s="46"/>
      <c r="L45" s="43"/>
      <c r="M45" s="43"/>
      <c r="N45" s="43"/>
      <c r="O45" s="43"/>
      <c r="P45" s="43"/>
      <c r="Q45" s="43"/>
      <c r="R45" s="16"/>
    </row>
    <row r="46" spans="1:18" ht="12.75" customHeight="1">
      <c r="A46" s="20"/>
      <c r="B46" s="20"/>
      <c r="C46" s="20"/>
      <c r="D46" s="20"/>
      <c r="E46" s="43"/>
      <c r="F46" s="43"/>
      <c r="G46" s="46"/>
      <c r="H46" s="46"/>
      <c r="I46" s="46"/>
      <c r="J46" s="46"/>
      <c r="K46" s="46"/>
      <c r="L46" s="43"/>
      <c r="M46" s="43"/>
      <c r="N46" s="43"/>
      <c r="O46" s="43"/>
      <c r="P46" s="43"/>
      <c r="Q46" s="43"/>
      <c r="R46" s="16"/>
    </row>
    <row r="47" spans="1:18" ht="12.75" customHeight="1">
      <c r="A47" s="20"/>
      <c r="B47" s="20"/>
      <c r="C47" s="20"/>
      <c r="D47" s="20"/>
      <c r="E47" s="43"/>
      <c r="F47" s="43"/>
      <c r="G47" s="46"/>
      <c r="H47" s="46"/>
      <c r="I47" s="46"/>
      <c r="J47" s="46"/>
      <c r="K47" s="46"/>
      <c r="L47" s="43"/>
      <c r="M47" s="43"/>
      <c r="N47" s="43"/>
      <c r="O47" s="43"/>
      <c r="P47" s="43"/>
      <c r="Q47" s="43"/>
      <c r="R47" s="16"/>
    </row>
    <row r="48" spans="1:18" ht="12.75" customHeight="1">
      <c r="A48" s="20"/>
      <c r="B48" s="20"/>
      <c r="C48" s="20"/>
      <c r="D48" s="20"/>
      <c r="E48" s="43"/>
      <c r="F48" s="43"/>
      <c r="G48" s="46"/>
      <c r="H48" s="46"/>
      <c r="I48" s="46"/>
      <c r="J48" s="46"/>
      <c r="K48" s="46"/>
      <c r="L48" s="43"/>
      <c r="M48" s="43"/>
      <c r="N48" s="43"/>
      <c r="O48" s="43"/>
      <c r="P48" s="43"/>
      <c r="Q48" s="43"/>
      <c r="R48" s="16"/>
    </row>
    <row r="49" spans="1:18" ht="12.75" customHeight="1">
      <c r="A49" s="20"/>
      <c r="B49" s="20"/>
      <c r="C49" s="20"/>
      <c r="D49" s="20"/>
      <c r="E49" s="43"/>
      <c r="F49" s="43"/>
      <c r="G49" s="54"/>
      <c r="H49" s="54"/>
      <c r="I49" s="54"/>
      <c r="J49" s="54"/>
      <c r="K49" s="54"/>
      <c r="L49" s="43"/>
      <c r="M49" s="43"/>
      <c r="N49" s="43"/>
      <c r="O49" s="43"/>
      <c r="P49" s="43"/>
      <c r="Q49" s="43"/>
      <c r="R49" s="16"/>
    </row>
    <row r="50" spans="1:18" ht="12.75" customHeight="1">
      <c r="A50" s="20"/>
      <c r="B50" s="20"/>
      <c r="C50" s="20"/>
      <c r="D50" s="20"/>
      <c r="E50" s="43"/>
      <c r="F50" s="43"/>
      <c r="G50" s="50"/>
      <c r="H50" s="50"/>
      <c r="I50" s="50"/>
      <c r="J50" s="50"/>
      <c r="K50" s="50"/>
      <c r="L50" s="43"/>
      <c r="M50" s="43"/>
      <c r="N50" s="43"/>
      <c r="O50" s="43"/>
      <c r="P50" s="43"/>
      <c r="Q50" s="43"/>
      <c r="R50" s="16"/>
    </row>
    <row r="51" spans="1:18" ht="12.75" customHeight="1">
      <c r="A51" s="20"/>
      <c r="B51" s="20"/>
      <c r="C51" s="20"/>
      <c r="D51" s="20"/>
      <c r="E51" s="43"/>
      <c r="F51" s="43"/>
      <c r="G51" s="44"/>
      <c r="H51" s="44"/>
      <c r="I51" s="44"/>
      <c r="J51" s="44"/>
      <c r="K51" s="44"/>
      <c r="L51" s="43"/>
      <c r="M51" s="43"/>
      <c r="N51" s="43"/>
      <c r="O51" s="43"/>
      <c r="P51" s="43"/>
      <c r="Q51" s="43"/>
      <c r="R51" s="16"/>
    </row>
    <row r="52" spans="1:18" ht="12.75" customHeight="1">
      <c r="A52" s="20"/>
      <c r="B52" s="20"/>
      <c r="C52" s="20"/>
      <c r="D52" s="20"/>
      <c r="E52" s="43"/>
      <c r="F52" s="43"/>
      <c r="G52" s="43"/>
      <c r="H52" s="43"/>
      <c r="I52" s="43"/>
      <c r="J52" s="43"/>
      <c r="K52" s="43"/>
      <c r="L52" s="43"/>
      <c r="M52" s="43"/>
      <c r="N52" s="43"/>
      <c r="O52" s="43"/>
      <c r="P52" s="43"/>
      <c r="Q52" s="43"/>
      <c r="R52" s="16"/>
    </row>
    <row r="53" spans="1:18" ht="12.75" customHeight="1">
      <c r="A53" s="20"/>
      <c r="B53" s="20"/>
      <c r="C53" s="20"/>
      <c r="D53" s="20"/>
      <c r="E53" s="43"/>
      <c r="F53" s="43"/>
      <c r="G53" s="43"/>
      <c r="H53" s="43"/>
      <c r="I53" s="43"/>
      <c r="J53" s="43"/>
      <c r="K53" s="43"/>
      <c r="L53" s="43"/>
      <c r="M53" s="43"/>
      <c r="N53" s="43"/>
      <c r="O53" s="43"/>
      <c r="P53" s="43"/>
      <c r="Q53" s="43"/>
      <c r="R53" s="16"/>
    </row>
    <row r="54" spans="1:18" ht="12.75" customHeight="1">
      <c r="A54" s="20"/>
      <c r="B54" s="20"/>
      <c r="C54" s="20"/>
      <c r="D54" s="20"/>
      <c r="E54" s="16"/>
      <c r="F54" s="16"/>
      <c r="G54" s="16"/>
      <c r="I54" s="16"/>
      <c r="J54" s="16"/>
      <c r="K54" s="16"/>
      <c r="L54" s="16"/>
      <c r="M54" s="16"/>
      <c r="N54" s="16"/>
      <c r="O54" s="16"/>
      <c r="P54" s="16"/>
      <c r="Q54" s="16"/>
      <c r="R54" s="16"/>
    </row>
    <row r="55" spans="1:18" ht="12.75" customHeight="1">
      <c r="A55" s="20"/>
      <c r="B55" s="20"/>
      <c r="C55" s="20"/>
      <c r="D55" s="20"/>
      <c r="E55" s="16"/>
      <c r="F55" s="16"/>
      <c r="G55" s="16"/>
      <c r="I55" s="16"/>
      <c r="J55" s="16"/>
      <c r="K55" s="16"/>
      <c r="L55" s="16"/>
      <c r="M55" s="16"/>
      <c r="N55" s="16"/>
      <c r="O55" s="16"/>
      <c r="P55" s="16"/>
      <c r="Q55" s="16"/>
      <c r="R55" s="16"/>
    </row>
    <row r="56" spans="1:18" ht="12.75" customHeight="1"/>
    <row r="57" spans="1:18" ht="12.75" customHeight="1"/>
    <row r="58" spans="1:18" ht="12.75" customHeight="1"/>
    <row r="59" spans="1:18" ht="12.75" customHeight="1"/>
    <row r="60" spans="1:18" ht="12.75" customHeight="1"/>
    <row r="61" spans="1:18" ht="12.75" customHeight="1"/>
    <row r="62" spans="1:18" ht="12.75" customHeight="1"/>
    <row r="63" spans="1:18" ht="12.75" customHeight="1"/>
    <row r="64" spans="1: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sheetData>
  <sheetProtection sheet="1" objects="1" scenarios="1"/>
  <phoneticPr fontId="4" type="noConversion"/>
  <pageMargins left="0.75" right="0.75" top="1" bottom="1" header="0.5" footer="0.5"/>
  <pageSetup scale="75" orientation="landscape" blackAndWhite="1" horizontalDpi="300" verticalDpi="300"/>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105"/>
  <sheetViews>
    <sheetView showGridLines="0" workbookViewId="0">
      <selection activeCell="E4" sqref="E4"/>
    </sheetView>
  </sheetViews>
  <sheetFormatPr defaultColWidth="8.85546875" defaultRowHeight="12"/>
  <cols>
    <col min="1" max="1" width="3" customWidth="1"/>
    <col min="2" max="3" width="3" style="1" customWidth="1"/>
    <col min="4" max="4" width="28.28515625" customWidth="1"/>
    <col min="5" max="5" width="14.85546875" customWidth="1"/>
    <col min="6" max="6" width="3" customWidth="1"/>
    <col min="7" max="19" width="10.85546875" customWidth="1"/>
  </cols>
  <sheetData>
    <row r="1" spans="1:19" ht="15.75">
      <c r="A1" s="5" t="str">
        <f>'1. Required Start-Up Funds'!A1</f>
        <v xml:space="preserve"> </v>
      </c>
      <c r="S1" s="12"/>
    </row>
    <row r="2" spans="1:19" ht="15.75">
      <c r="A2" s="5" t="s">
        <v>329</v>
      </c>
    </row>
    <row r="3" spans="1:19" ht="12.75" customHeight="1">
      <c r="A3" s="22"/>
      <c r="B3" s="23"/>
      <c r="C3" s="23"/>
      <c r="D3" s="24"/>
      <c r="E3" s="24"/>
      <c r="F3" s="24"/>
      <c r="G3" s="24"/>
      <c r="H3" s="24"/>
      <c r="I3" s="24"/>
      <c r="J3" s="24"/>
      <c r="K3" s="24"/>
      <c r="L3" s="24"/>
      <c r="M3" s="24"/>
      <c r="N3" s="24"/>
      <c r="O3" s="24"/>
      <c r="P3" s="24"/>
      <c r="Q3" s="24"/>
      <c r="R3" s="24"/>
      <c r="S3" s="24"/>
    </row>
    <row r="4" spans="1:19" ht="12.75" customHeight="1">
      <c r="A4" s="24"/>
      <c r="B4" s="23"/>
      <c r="C4" s="23"/>
      <c r="D4" s="24"/>
      <c r="E4" s="24"/>
      <c r="F4" s="24"/>
      <c r="G4" s="24"/>
      <c r="H4" s="24"/>
      <c r="I4" s="24"/>
      <c r="J4" s="24"/>
      <c r="K4" s="24"/>
      <c r="L4" s="24"/>
      <c r="M4" s="24"/>
      <c r="N4" s="24"/>
      <c r="O4" s="24"/>
      <c r="P4" s="24"/>
      <c r="Q4" s="24"/>
      <c r="R4" s="24"/>
      <c r="S4" s="24"/>
    </row>
    <row r="5" spans="1:19" ht="12.75" customHeight="1">
      <c r="A5" s="24"/>
      <c r="B5" s="23"/>
      <c r="C5" s="23"/>
      <c r="D5" s="24"/>
      <c r="E5" s="24"/>
      <c r="F5" s="24"/>
      <c r="G5" s="24"/>
      <c r="H5" s="24"/>
      <c r="I5" s="24"/>
      <c r="J5" s="24"/>
      <c r="K5" s="24"/>
      <c r="L5" s="24"/>
      <c r="M5" s="24"/>
      <c r="N5" s="24"/>
      <c r="O5" s="24"/>
      <c r="P5" s="24"/>
      <c r="Q5" s="24"/>
      <c r="R5" s="24"/>
      <c r="S5" s="24"/>
    </row>
    <row r="6" spans="1:19" ht="12.75" customHeight="1" thickBot="1">
      <c r="A6" s="23" t="s">
        <v>163</v>
      </c>
      <c r="B6" s="23"/>
      <c r="C6" s="23"/>
      <c r="D6" s="24"/>
      <c r="E6" s="25" t="s">
        <v>285</v>
      </c>
      <c r="F6" s="24"/>
      <c r="G6" s="65">
        <f>'4a.Prod 1-6 Unit Sales Forecast'!H6</f>
        <v>1</v>
      </c>
      <c r="H6" s="65">
        <f>'4a.Prod 1-6 Unit Sales Forecast'!I6</f>
        <v>2</v>
      </c>
      <c r="I6" s="65">
        <f>'4a.Prod 1-6 Unit Sales Forecast'!J6</f>
        <v>3</v>
      </c>
      <c r="J6" s="65">
        <f>'4a.Prod 1-6 Unit Sales Forecast'!K6</f>
        <v>4</v>
      </c>
      <c r="K6" s="65">
        <f>'4a.Prod 1-6 Unit Sales Forecast'!L6</f>
        <v>5</v>
      </c>
      <c r="L6" s="65">
        <f>'4a.Prod 1-6 Unit Sales Forecast'!M6</f>
        <v>6</v>
      </c>
      <c r="M6" s="65">
        <f>'4a.Prod 1-6 Unit Sales Forecast'!N6</f>
        <v>7</v>
      </c>
      <c r="N6" s="65">
        <f>'4a.Prod 1-6 Unit Sales Forecast'!O6</f>
        <v>8</v>
      </c>
      <c r="O6" s="65">
        <f>'4a.Prod 1-6 Unit Sales Forecast'!P6</f>
        <v>9</v>
      </c>
      <c r="P6" s="65">
        <f>'4a.Prod 1-6 Unit Sales Forecast'!Q6</f>
        <v>10</v>
      </c>
      <c r="Q6" s="65">
        <f>'4a.Prod 1-6 Unit Sales Forecast'!R6</f>
        <v>11</v>
      </c>
      <c r="R6" s="65">
        <f>'4a.Prod 1-6 Unit Sales Forecast'!S6</f>
        <v>12</v>
      </c>
      <c r="S6" s="65" t="s">
        <v>248</v>
      </c>
    </row>
    <row r="7" spans="1:19" ht="12.75" customHeight="1" thickTop="1">
      <c r="A7" s="24"/>
      <c r="B7" s="23"/>
      <c r="C7" s="23"/>
      <c r="D7" s="24"/>
      <c r="E7" s="24"/>
      <c r="F7" s="24"/>
      <c r="G7" s="24"/>
      <c r="H7" s="24"/>
      <c r="I7" s="24"/>
      <c r="J7" s="24"/>
      <c r="K7" s="24"/>
      <c r="L7" s="24"/>
      <c r="M7" s="24"/>
      <c r="N7" s="24"/>
      <c r="O7" s="24"/>
      <c r="P7" s="24"/>
      <c r="Q7" s="24"/>
      <c r="R7" s="24"/>
      <c r="S7" s="24"/>
    </row>
    <row r="8" spans="1:19" ht="12.75" customHeight="1">
      <c r="A8" s="23" t="s">
        <v>268</v>
      </c>
      <c r="B8" s="23"/>
      <c r="C8" s="23"/>
      <c r="D8" s="24"/>
      <c r="E8" s="24"/>
      <c r="F8" s="24"/>
      <c r="G8" s="24"/>
      <c r="H8" s="24"/>
      <c r="I8" s="24"/>
      <c r="J8" s="24"/>
      <c r="K8" s="24"/>
      <c r="L8" s="24"/>
      <c r="M8" s="24"/>
      <c r="N8" s="24"/>
      <c r="O8" s="24"/>
      <c r="P8" s="24"/>
      <c r="Q8" s="24"/>
      <c r="R8" s="24"/>
      <c r="S8" s="24"/>
    </row>
    <row r="9" spans="1:19" ht="12.75" customHeight="1">
      <c r="A9" s="24"/>
      <c r="B9" s="23" t="s">
        <v>330</v>
      </c>
      <c r="C9" s="23"/>
      <c r="D9" s="24"/>
      <c r="E9" s="27">
        <f>'1. Required Start-Up Funds'!I45</f>
        <v>0</v>
      </c>
      <c r="F9" s="24"/>
      <c r="G9" s="24"/>
      <c r="H9" s="24"/>
      <c r="I9" s="24"/>
      <c r="J9" s="24"/>
      <c r="K9" s="24"/>
      <c r="L9" s="24"/>
      <c r="M9" s="24"/>
      <c r="N9" s="24"/>
      <c r="O9" s="24"/>
      <c r="P9" s="24"/>
      <c r="Q9" s="24"/>
      <c r="R9" s="24"/>
      <c r="S9" s="24"/>
    </row>
    <row r="10" spans="1:19" ht="12.75" customHeight="1">
      <c r="A10" s="24"/>
      <c r="B10" s="23" t="s">
        <v>332</v>
      </c>
      <c r="C10" s="23"/>
      <c r="D10" s="24"/>
      <c r="E10" s="36">
        <f>'1. Required Start-Up Funds'!J45</f>
        <v>7.0000000000000007E-2</v>
      </c>
      <c r="F10" s="24"/>
      <c r="G10" s="24"/>
      <c r="H10" s="24"/>
      <c r="I10" s="24"/>
      <c r="J10" s="24"/>
      <c r="K10" s="24"/>
      <c r="L10" s="24"/>
      <c r="M10" s="24"/>
      <c r="N10" s="24"/>
      <c r="O10" s="24"/>
      <c r="P10" s="24"/>
      <c r="Q10" s="24"/>
      <c r="R10" s="24"/>
      <c r="S10" s="24"/>
    </row>
    <row r="11" spans="1:19" ht="12.75" customHeight="1">
      <c r="A11" s="24"/>
      <c r="B11" s="23" t="s">
        <v>162</v>
      </c>
      <c r="C11" s="23"/>
      <c r="D11" s="24"/>
      <c r="E11" s="32">
        <f>'1. Required Start-Up Funds'!K45</f>
        <v>84</v>
      </c>
      <c r="F11" s="24"/>
      <c r="G11" s="24"/>
      <c r="H11" s="24"/>
      <c r="I11" s="24"/>
      <c r="J11" s="24"/>
      <c r="K11" s="24"/>
      <c r="L11" s="24"/>
      <c r="M11" s="24"/>
      <c r="N11" s="24"/>
      <c r="O11" s="24"/>
      <c r="P11" s="24"/>
      <c r="Q11" s="24"/>
      <c r="R11" s="24"/>
      <c r="S11" s="24"/>
    </row>
    <row r="12" spans="1:19" ht="12.75" customHeight="1">
      <c r="A12" s="24"/>
      <c r="B12" s="23" t="s">
        <v>165</v>
      </c>
      <c r="C12" s="23"/>
      <c r="D12" s="24"/>
      <c r="E12" s="34">
        <f>ABS(PMT(E10/12,E11,E9))</f>
        <v>0</v>
      </c>
      <c r="F12" s="24"/>
      <c r="G12" s="24"/>
      <c r="H12" s="24"/>
      <c r="I12" s="24"/>
      <c r="J12" s="24"/>
      <c r="K12" s="24"/>
      <c r="L12" s="24"/>
      <c r="M12" s="24"/>
      <c r="N12" s="24"/>
      <c r="O12" s="24"/>
      <c r="P12" s="24"/>
      <c r="Q12" s="24"/>
      <c r="R12" s="24"/>
      <c r="S12" s="24"/>
    </row>
    <row r="13" spans="1:19" ht="12.75" customHeight="1">
      <c r="A13" s="24"/>
      <c r="B13" s="23" t="str">
        <f>+'1. Required Start-Up Funds'!M40</f>
        <v>Year Other Debt Loan Payments Start</v>
      </c>
      <c r="C13" s="23"/>
      <c r="D13" s="24"/>
      <c r="E13" s="24">
        <f>+'1. Required Start-Up Funds'!M45</f>
        <v>0</v>
      </c>
      <c r="F13" s="24"/>
      <c r="G13" s="24"/>
      <c r="H13" s="24"/>
      <c r="I13" s="24"/>
      <c r="J13" s="24"/>
      <c r="K13" s="24"/>
      <c r="L13" s="24"/>
      <c r="M13" s="24"/>
      <c r="N13" s="24"/>
      <c r="O13" s="24"/>
      <c r="P13" s="24"/>
      <c r="Q13" s="24"/>
      <c r="R13" s="24"/>
      <c r="S13" s="24"/>
    </row>
    <row r="14" spans="1:19" ht="12.75" customHeight="1">
      <c r="A14" s="24"/>
      <c r="B14" s="23" t="s">
        <v>283</v>
      </c>
      <c r="C14" s="23"/>
      <c r="D14" s="24"/>
      <c r="E14" s="24"/>
      <c r="F14" s="24"/>
      <c r="G14" s="24"/>
      <c r="H14" s="24"/>
      <c r="I14" s="24"/>
      <c r="J14" s="24"/>
      <c r="K14" s="24"/>
      <c r="L14" s="24"/>
      <c r="M14" s="24"/>
      <c r="N14" s="24"/>
      <c r="O14" s="24"/>
      <c r="P14" s="24"/>
      <c r="Q14" s="24"/>
      <c r="R14" s="24"/>
      <c r="S14" s="24"/>
    </row>
    <row r="15" spans="1:19" ht="12.75" customHeight="1">
      <c r="A15" s="24"/>
      <c r="B15" s="23"/>
      <c r="C15" s="23" t="s">
        <v>326</v>
      </c>
      <c r="D15" s="24"/>
      <c r="E15" s="24"/>
      <c r="F15" s="24"/>
      <c r="G15" s="31">
        <f>IF($E$13&lt;=1,ABS(IPMT($E$10/12,G$6,$E$11,$E$9)),$E$9*$E$10/12)</f>
        <v>0</v>
      </c>
      <c r="H15" s="31">
        <f t="shared" ref="H15:R15" si="0">IF($E$13&lt;=1,ABS(IPMT($E$10/12,H$6,$E$11,$E$9)),$E$9*$E$10/12)</f>
        <v>0</v>
      </c>
      <c r="I15" s="31">
        <f t="shared" si="0"/>
        <v>0</v>
      </c>
      <c r="J15" s="31">
        <f t="shared" si="0"/>
        <v>0</v>
      </c>
      <c r="K15" s="31">
        <f t="shared" si="0"/>
        <v>0</v>
      </c>
      <c r="L15" s="31">
        <f t="shared" si="0"/>
        <v>0</v>
      </c>
      <c r="M15" s="31">
        <f t="shared" si="0"/>
        <v>0</v>
      </c>
      <c r="N15" s="31">
        <f t="shared" si="0"/>
        <v>0</v>
      </c>
      <c r="O15" s="31">
        <f t="shared" si="0"/>
        <v>0</v>
      </c>
      <c r="P15" s="31">
        <f t="shared" si="0"/>
        <v>0</v>
      </c>
      <c r="Q15" s="31">
        <f t="shared" si="0"/>
        <v>0</v>
      </c>
      <c r="R15" s="31">
        <f t="shared" si="0"/>
        <v>0</v>
      </c>
      <c r="S15" s="31">
        <f>SUM(G15:R15)</f>
        <v>0</v>
      </c>
    </row>
    <row r="16" spans="1:19" ht="12.75" customHeight="1">
      <c r="A16" s="24"/>
      <c r="B16" s="23"/>
      <c r="C16" s="23" t="s">
        <v>164</v>
      </c>
      <c r="D16" s="24"/>
      <c r="E16" s="24"/>
      <c r="F16" s="24"/>
      <c r="G16" s="31">
        <f>IF($E$13&lt;=1,ABS(PPMT($E$10/12,G$6,$E$11,$E$9)),0)</f>
        <v>0</v>
      </c>
      <c r="H16" s="31">
        <f t="shared" ref="H16:R16" si="1">IF($E$13&lt;=1,ABS(PPMT($E$10/12,H$6,$E$11,$E$9)),0)</f>
        <v>0</v>
      </c>
      <c r="I16" s="31">
        <f t="shared" si="1"/>
        <v>0</v>
      </c>
      <c r="J16" s="31">
        <f t="shared" si="1"/>
        <v>0</v>
      </c>
      <c r="K16" s="31">
        <f t="shared" si="1"/>
        <v>0</v>
      </c>
      <c r="L16" s="31">
        <f t="shared" si="1"/>
        <v>0</v>
      </c>
      <c r="M16" s="31">
        <f t="shared" si="1"/>
        <v>0</v>
      </c>
      <c r="N16" s="31">
        <f t="shared" si="1"/>
        <v>0</v>
      </c>
      <c r="O16" s="31">
        <f t="shared" si="1"/>
        <v>0</v>
      </c>
      <c r="P16" s="31">
        <f t="shared" si="1"/>
        <v>0</v>
      </c>
      <c r="Q16" s="31">
        <f t="shared" si="1"/>
        <v>0</v>
      </c>
      <c r="R16" s="31">
        <f t="shared" si="1"/>
        <v>0</v>
      </c>
      <c r="S16" s="31">
        <f>SUM(G16:R16)</f>
        <v>0</v>
      </c>
    </row>
    <row r="17" spans="1:19" ht="12.75" customHeight="1">
      <c r="A17" s="24"/>
      <c r="B17" s="23"/>
      <c r="C17" s="23" t="s">
        <v>166</v>
      </c>
      <c r="D17" s="24"/>
      <c r="E17" s="24"/>
      <c r="F17" s="24"/>
      <c r="G17" s="70">
        <f>$E$9-G16</f>
        <v>0</v>
      </c>
      <c r="H17" s="70">
        <f>G17-H16</f>
        <v>0</v>
      </c>
      <c r="I17" s="70">
        <f t="shared" ref="I17:R17" si="2">H17-I16</f>
        <v>0</v>
      </c>
      <c r="J17" s="70">
        <f t="shared" si="2"/>
        <v>0</v>
      </c>
      <c r="K17" s="70">
        <f t="shared" si="2"/>
        <v>0</v>
      </c>
      <c r="L17" s="70">
        <f t="shared" si="2"/>
        <v>0</v>
      </c>
      <c r="M17" s="70">
        <f t="shared" si="2"/>
        <v>0</v>
      </c>
      <c r="N17" s="70">
        <f t="shared" si="2"/>
        <v>0</v>
      </c>
      <c r="O17" s="70">
        <f t="shared" si="2"/>
        <v>0</v>
      </c>
      <c r="P17" s="70">
        <f t="shared" si="2"/>
        <v>0</v>
      </c>
      <c r="Q17" s="70">
        <f t="shared" si="2"/>
        <v>0</v>
      </c>
      <c r="R17" s="70">
        <f t="shared" si="2"/>
        <v>0</v>
      </c>
      <c r="S17" s="70"/>
    </row>
    <row r="18" spans="1:19" ht="12.75" customHeight="1">
      <c r="A18" s="24"/>
      <c r="B18" s="23" t="s">
        <v>293</v>
      </c>
      <c r="C18" s="23"/>
      <c r="D18" s="24"/>
      <c r="E18" s="24"/>
      <c r="F18" s="24"/>
      <c r="G18" s="70"/>
      <c r="H18" s="70"/>
      <c r="I18" s="70"/>
      <c r="J18" s="70"/>
      <c r="K18" s="70"/>
      <c r="L18" s="70"/>
      <c r="M18" s="70"/>
      <c r="N18" s="70"/>
      <c r="O18" s="70"/>
      <c r="P18" s="70"/>
      <c r="Q18" s="70"/>
      <c r="R18" s="70"/>
      <c r="S18" s="70"/>
    </row>
    <row r="19" spans="1:19" ht="12.75" customHeight="1">
      <c r="A19" s="24"/>
      <c r="B19" s="23"/>
      <c r="C19" s="23" t="s">
        <v>326</v>
      </c>
      <c r="D19" s="24"/>
      <c r="E19" s="24"/>
      <c r="F19" s="24"/>
      <c r="G19" s="31">
        <f>IF($E11&gt;12,IF('1. Required Start-Up Funds'!$M$45&lt;=1,ABS(IPMT($E10/12,13,$E11,$E9)),IF('1. Required Start-Up Funds'!$M$45=2,ABS(IPMT($E10/12,1,$E11,$E9)),$E9*$E10/12)),0)</f>
        <v>0</v>
      </c>
      <c r="H19" s="31">
        <f>IF($E11&gt;13,IF('1. Required Start-Up Funds'!$M$45&lt;=1,ABS(IPMT($E10/12,14,$E11,$E9)),IF('1. Required Start-Up Funds'!$M$45=2,ABS(IPMT($E10/12,2,$E11,$E9)),$E9*$E10/12)),0)</f>
        <v>0</v>
      </c>
      <c r="I19" s="31">
        <f>IF($E11&gt;14,IF('1. Required Start-Up Funds'!$M$45&lt;=1,ABS(IPMT($E10/12,15,$E11,$E9)),IF('1. Required Start-Up Funds'!$M$45=2,ABS(IPMT($E10/12,3,$E11,$E9)),$E9*$E10/12)),0)</f>
        <v>0</v>
      </c>
      <c r="J19" s="31">
        <f>IF($E11&gt;15,IF('1. Required Start-Up Funds'!$M$45&lt;=1,ABS(IPMT($E10/12,16,$E11,$E9)),IF('1. Required Start-Up Funds'!$M$45=2,ABS(IPMT($E10/12,4,$E11,$E9)),$E9*$E10/12)),0)</f>
        <v>0</v>
      </c>
      <c r="K19" s="31">
        <f>IF($E11&gt;16,IF('1. Required Start-Up Funds'!$M$45&lt;=1,ABS(IPMT($E10/12,17,$E11,$E9)),IF('1. Required Start-Up Funds'!$M$45=2,ABS(IPMT($E10/12,5,$E11,$E9)),$E9*$E10/12)),0)</f>
        <v>0</v>
      </c>
      <c r="L19" s="31">
        <f>IF($E11&gt;17,IF('1. Required Start-Up Funds'!$M$45&lt;=1,ABS(IPMT($E10/12,18,$E11,$E9)),IF('1. Required Start-Up Funds'!$M$45=2,ABS(IPMT($E10/12,6,$E11,$E9)),$E9*$E10/12)),0)</f>
        <v>0</v>
      </c>
      <c r="M19" s="31">
        <f>IF($E11&gt;18,IF('1. Required Start-Up Funds'!$M$45&lt;=1,ABS(IPMT($E10/12,19,$E11,$E9)),IF('1. Required Start-Up Funds'!$M$45=2,ABS(IPMT($E10/12,7,$E11,$E9)),$E9*$E10/12)),0)</f>
        <v>0</v>
      </c>
      <c r="N19" s="31">
        <f>IF($E11&gt;19,IF('1. Required Start-Up Funds'!$M$45&lt;=1,ABS(IPMT($E10/12,20,$E11,$E9)),IF('1. Required Start-Up Funds'!$M$45=2,ABS(IPMT($E10/12,8,$E11,$E9)),$E9*$E10/12)),0)</f>
        <v>0</v>
      </c>
      <c r="O19" s="31">
        <f>IF($E11&gt;20,IF('1. Required Start-Up Funds'!$M$45&lt;=1,ABS(IPMT($E10/12,21,$E11,$E9)),IF('1. Required Start-Up Funds'!$M$45=2,ABS(IPMT($E10/12,9,$E11,$E9)),$E9*$E10/12)),0)</f>
        <v>0</v>
      </c>
      <c r="P19" s="31">
        <f>IF($E11&gt;21,IF('1. Required Start-Up Funds'!$M$45&lt;=1,ABS(IPMT($E10/12,22,$E11,$E9)),IF('1. Required Start-Up Funds'!$M$45=2,ABS(IPMT($E10/12,10,$E11,$E9)),$E9*$E10/12)),0)</f>
        <v>0</v>
      </c>
      <c r="Q19" s="31">
        <f>IF($E11&gt;22,IF('1. Required Start-Up Funds'!$M$45&lt;=1,ABS(IPMT($E10/12,23,$E11,$E9)),IF('1. Required Start-Up Funds'!$M$45=2,ABS(IPMT($E10/12,11,$E11,$E9)),$E9*$E10/12)),0)</f>
        <v>0</v>
      </c>
      <c r="R19" s="31">
        <f>IF($E11&gt;23,IF('1. Required Start-Up Funds'!$M$45&lt;=1,ABS(IPMT($E10/12,24,$E11,$E9)),IF('1. Required Start-Up Funds'!$M$45=2,ABS(IPMT($E10/12,12,$E11,$E9)),$E9*$E10/12)),0)</f>
        <v>0</v>
      </c>
      <c r="S19" s="31">
        <f>SUM(G19:R19)</f>
        <v>0</v>
      </c>
    </row>
    <row r="20" spans="1:19" ht="12.75" customHeight="1">
      <c r="A20" s="24"/>
      <c r="B20" s="23"/>
      <c r="C20" s="23" t="s">
        <v>164</v>
      </c>
      <c r="D20" s="24"/>
      <c r="E20" s="24"/>
      <c r="F20" s="24"/>
      <c r="G20" s="31">
        <f>IF($E11&gt;12,IF('1. Required Start-Up Funds'!$M$45&lt;=1,ABS(PPMT($E10/12,13,$E11,$E9)),IF('1. Required Start-Up Funds'!$M$45=2,ABS(PPMT($E10/12,1,$E11,$E9)),0)),0)</f>
        <v>0</v>
      </c>
      <c r="H20" s="31">
        <f>IF($E11&gt;13,IF('1. Required Start-Up Funds'!$M$45&lt;=1,ABS(PPMT($E10/12,14,$E11,$E9)),IF('1. Required Start-Up Funds'!#REF!=2,ABS(PPMT($E10/12,2,$E11,$E9)),0)),0)</f>
        <v>0</v>
      </c>
      <c r="I20" s="31">
        <f>IF($E11&gt;14,IF('1. Required Start-Up Funds'!$M$45&lt;=1,ABS(PPMT($E10/12,15,$E11,$E9)),IF('1. Required Start-Up Funds'!$M$45=2,ABS(PPMT($E10/12,3,$E11,$E9)),0)),0)</f>
        <v>0</v>
      </c>
      <c r="J20" s="31">
        <f>IF($E11&gt;15,IF('1. Required Start-Up Funds'!$M$45&lt;=1,ABS(PPMT($E10/12,16,$E11,$E9)),IF('1. Required Start-Up Funds'!$M$45=2,ABS(PPMT($E10/12,4,$E11,$E9)),0)),0)</f>
        <v>0</v>
      </c>
      <c r="K20" s="31">
        <f>IF($E11&gt;16,IF('1. Required Start-Up Funds'!$M$45&lt;=1,ABS(PPMT($E10/12,17,$E11,$E9)),IF('1. Required Start-Up Funds'!$M$45=2,ABS(PPMT($E10/12,5,$E11,$E9)),0)),0)</f>
        <v>0</v>
      </c>
      <c r="L20" s="31">
        <f>IF($E11&gt;17,IF('1. Required Start-Up Funds'!$M$45&lt;=1,ABS(PPMT($E10/12,18,$E11,$E9)),IF('1. Required Start-Up Funds'!$M$45=2,ABS(PPMT($E10/12,6,$E11,$E9)),0)),0)</f>
        <v>0</v>
      </c>
      <c r="M20" s="31">
        <f>IF($E11&gt;18,IF('1. Required Start-Up Funds'!$M$45&lt;=1,ABS(PPMT($E10/12,19,$E11,$E9)),IF('1. Required Start-Up Funds'!$M$45=2,ABS(PPMT($E10/12,7,$E11,$E9)),0)),0)</f>
        <v>0</v>
      </c>
      <c r="N20" s="31">
        <f>IF($E11&gt;19,IF('1. Required Start-Up Funds'!$M$45&lt;=1,ABS(PPMT($E10/12,20,$E11,$E9)),IF('1. Required Start-Up Funds'!$M$45=2,ABS(PPMT($E10/12,8,$E11,$E9)),0)),0)</f>
        <v>0</v>
      </c>
      <c r="O20" s="31">
        <f>IF($E11&gt;20,IF('1. Required Start-Up Funds'!$M$45&lt;=1,ABS(PPMT($E10/12,21,$E11,$E9)),IF('1. Required Start-Up Funds'!$M$45=2,ABS(PPMT($E10/12,9,$E11,$E9)),0)),0)</f>
        <v>0</v>
      </c>
      <c r="P20" s="31">
        <f>IF($E11&gt;21,IF('1. Required Start-Up Funds'!$M$45&lt;=1,ABS(PPMT($E10/12,22,$E11,$E9)),IF('1. Required Start-Up Funds'!$M$45=2,ABS(PPMT($E10/12,10,$E11,$E9)),0)),0)</f>
        <v>0</v>
      </c>
      <c r="Q20" s="31">
        <f>IF($E11&gt;22,IF('1. Required Start-Up Funds'!$M$45&lt;=1,ABS(PPMT($E10/12,23,$E11,$E9)),IF('1. Required Start-Up Funds'!$M$45=2,ABS(PPMT($E10/12,11,$E11,$E9)),0)),0)</f>
        <v>0</v>
      </c>
      <c r="R20" s="31">
        <f>IF($E11&gt;23,IF('1. Required Start-Up Funds'!$M$45&lt;=1,ABS(PPMT($E10/12,24,$E11,$E9)),IF('1. Required Start-Up Funds'!$M$45=2,ABS(PPMT($E10/12,12,$E11,$E9)),0)),0)</f>
        <v>0</v>
      </c>
      <c r="S20" s="31">
        <f>SUM(G20:R20)</f>
        <v>0</v>
      </c>
    </row>
    <row r="21" spans="1:19" ht="12.75" customHeight="1">
      <c r="A21" s="24"/>
      <c r="B21" s="23"/>
      <c r="C21" s="23" t="s">
        <v>166</v>
      </c>
      <c r="D21" s="24"/>
      <c r="E21" s="24"/>
      <c r="F21" s="24"/>
      <c r="G21" s="70">
        <f>R17-G20</f>
        <v>0</v>
      </c>
      <c r="H21" s="70">
        <f>G21-H20</f>
        <v>0</v>
      </c>
      <c r="I21" s="70">
        <f t="shared" ref="I21:R21" si="3">H21-I20</f>
        <v>0</v>
      </c>
      <c r="J21" s="70">
        <f t="shared" si="3"/>
        <v>0</v>
      </c>
      <c r="K21" s="70">
        <f t="shared" si="3"/>
        <v>0</v>
      </c>
      <c r="L21" s="70">
        <f t="shared" si="3"/>
        <v>0</v>
      </c>
      <c r="M21" s="70">
        <f t="shared" si="3"/>
        <v>0</v>
      </c>
      <c r="N21" s="70">
        <f t="shared" si="3"/>
        <v>0</v>
      </c>
      <c r="O21" s="70">
        <f t="shared" si="3"/>
        <v>0</v>
      </c>
      <c r="P21" s="70">
        <f t="shared" si="3"/>
        <v>0</v>
      </c>
      <c r="Q21" s="70">
        <f t="shared" si="3"/>
        <v>0</v>
      </c>
      <c r="R21" s="70">
        <f t="shared" si="3"/>
        <v>0</v>
      </c>
      <c r="S21" s="70"/>
    </row>
    <row r="22" spans="1:19" ht="12.75" customHeight="1">
      <c r="A22" s="24"/>
      <c r="B22" s="23" t="s">
        <v>284</v>
      </c>
      <c r="C22" s="23"/>
      <c r="D22" s="24"/>
      <c r="E22" s="24"/>
      <c r="F22" s="24"/>
      <c r="G22" s="70"/>
      <c r="H22" s="70"/>
      <c r="I22" s="70"/>
      <c r="J22" s="70"/>
      <c r="K22" s="70"/>
      <c r="L22" s="70"/>
      <c r="M22" s="70"/>
      <c r="N22" s="70"/>
      <c r="O22" s="70"/>
      <c r="P22" s="70"/>
      <c r="Q22" s="70"/>
      <c r="R22" s="70"/>
      <c r="S22" s="70"/>
    </row>
    <row r="23" spans="1:19" ht="12.75" customHeight="1">
      <c r="A23" s="24"/>
      <c r="B23" s="23"/>
      <c r="C23" s="23" t="s">
        <v>326</v>
      </c>
      <c r="D23" s="24"/>
      <c r="E23" s="24"/>
      <c r="F23" s="24"/>
      <c r="G23" s="31">
        <f>IF($E11&gt;24,IF('1. Required Start-Up Funds'!$M$45&lt;=1,ABS(IPMT($E10/12,25,$E11,$E9)),IF('1. Required Start-Up Funds'!$M$45=2,ABS(IPMT($E10/12,13,$E11,$E9)),ABS(IPMT($E10/12,1,$E11,$E9)))),0)</f>
        <v>0</v>
      </c>
      <c r="H23" s="31">
        <f>IF($E11&gt;25,IF('1. Required Start-Up Funds'!$M$45&lt;=1,ABS(IPMT($E10/12,26,$E11,$E9)),IF('1. Required Start-Up Funds'!$M$45=2,ABS(IPMT($E10/12,14,$E11,$E9)),ABS(IPMT($E10/12,2,$E11,$E9)))),0)</f>
        <v>0</v>
      </c>
      <c r="I23" s="31">
        <f>IF($E11&gt;26,IF('1. Required Start-Up Funds'!$M$45&lt;=1,ABS(IPMT($E10/12,27,$E11,$E9)),IF('1. Required Start-Up Funds'!$M$45=2,ABS(IPMT($E10/12,15,$E11,$E9)),ABS(IPMT($E10/12,3,$E11,$E9)))),0)</f>
        <v>0</v>
      </c>
      <c r="J23" s="31">
        <f>IF($E11&gt;27,IF('1. Required Start-Up Funds'!$M$45&lt;=1,ABS(IPMT($E10/12,28,$E11,$E9)),IF('1. Required Start-Up Funds'!$M$45=2,ABS(IPMT($E10/12,16,$E11,$E9)),ABS(IPMT($E10/12,4,$E11,$E9)))),0)</f>
        <v>0</v>
      </c>
      <c r="K23" s="31">
        <f>IF($E11&gt;28,IF('1. Required Start-Up Funds'!$M$45&lt;=1,ABS(IPMT($E10/12,29,$E11,$E9)),IF('1. Required Start-Up Funds'!$M$45=2,ABS(IPMT($E10/12,17,$E11,$E9)),ABS(IPMT(E$90/12,5,$E11,$E9)))),0)</f>
        <v>0</v>
      </c>
      <c r="L23" s="31">
        <f>IF($E11&gt;29,IF('1. Required Start-Up Funds'!$M$45&lt;=1,ABS(IPMT($E10/12,30,$E11,$E9)),IF('1. Required Start-Up Funds'!$M$45=2,ABS(IPMT($E10/12,18,$E11,$E9)),ABS(IPMT($E10/12,6,$E11,$E9)))),0)</f>
        <v>0</v>
      </c>
      <c r="M23" s="31">
        <f>IF($E11&gt;30,IF('1. Required Start-Up Funds'!$M$45&lt;=1,ABS(IPMT($E10/12,31,$E11,$E9)),IF('1. Required Start-Up Funds'!$M$45=2,ABS(IPMT($E10/12,19,$E11,$E9)),ABS(IPMT($E10/12,7,$E11,$E9)))),0)</f>
        <v>0</v>
      </c>
      <c r="N23" s="31">
        <f>IF($E11&gt;31,IF('1. Required Start-Up Funds'!$M$45&lt;=1,ABS(IPMT($E10/12,32,$E11,$E9)),IF('1. Required Start-Up Funds'!$M$45=2,ABS(IPMT($E10/12,20,$E11,$E9)),ABS(IPMT($E10/12,8,$E11,$E9)))),0)</f>
        <v>0</v>
      </c>
      <c r="O23" s="31">
        <f>IF($E11&gt;32,IF('1. Required Start-Up Funds'!$M$45&lt;=1,ABS(IPMT($E10/12,33,$E11,$E9)),IF('1. Required Start-Up Funds'!$M$45=2,ABS(IPMT($E10/12,21,$E11,$E9)),ABS(IPMT($E10/12,9,$E11,$E9)))),0)</f>
        <v>0</v>
      </c>
      <c r="P23" s="31">
        <f>IF($E11&gt;33,IF('1. Required Start-Up Funds'!$M$45&lt;=1,ABS(IPMT($E10/12,34,$E11,$E9)),IF('1. Required Start-Up Funds'!$M$45=2,ABS(IPMT($E10/12,22,$E11,$E9)),ABS(IPMT($E10/12,10,$E11,$E9)))),0)</f>
        <v>0</v>
      </c>
      <c r="Q23" s="31">
        <f>IF($E11&gt;34,IF('1. Required Start-Up Funds'!$M$45&lt;=1,ABS(IPMT($E10/12,35,$E11,$E9)),IF('1. Required Start-Up Funds'!#REF!=2,ABS(IPMT($E10/12,23,$E11,$E9)),ABS(IPMT($E10/12,11,$E11,$E9)))),0)</f>
        <v>0</v>
      </c>
      <c r="R23" s="31">
        <f>IF($E11&gt;35,IF('1. Required Start-Up Funds'!$M$45&lt;=1,ABS(IPMT($E10/12,36,$E11,$E9)),IF('1. Required Start-Up Funds'!$M$45=2,ABS(IPMT($E10/12,24,$E11,$E9)),ABS(IPMT($E10/12,12,$E11,$E9)))),0)</f>
        <v>0</v>
      </c>
      <c r="S23" s="31">
        <f>SUM(G23:R23)</f>
        <v>0</v>
      </c>
    </row>
    <row r="24" spans="1:19" ht="12.75" customHeight="1">
      <c r="A24" s="24"/>
      <c r="B24" s="23"/>
      <c r="C24" s="23" t="s">
        <v>164</v>
      </c>
      <c r="D24" s="24"/>
      <c r="E24" s="24"/>
      <c r="F24" s="24"/>
      <c r="G24" s="31">
        <f>IF($E11&gt;24,IF('1. Required Start-Up Funds'!$M$45&lt;=1,ABS(PPMT($E10/12,25,$E11,$E9)),IF('1. Required Start-Up Funds'!$M$45=2,ABS(PPMT($E10/12,13,$E11,$E9)),ABS(PPMT($E10/12,1,$E11,$E9)))),0)</f>
        <v>0</v>
      </c>
      <c r="H24" s="31">
        <f>IF($E11&gt;25,IF('1. Required Start-Up Funds'!$M$45&lt;=1,ABS(PPMT($E10/12,26,$E11,$E9)),IF('1. Required Start-Up Funds'!$M$45=2,ABS(PPMT($E10/12,14,$E11,$E9)),ABS(PPMT($E10/12,2,$E11,$E9)))),0)</f>
        <v>0</v>
      </c>
      <c r="I24" s="31">
        <f>IF($E11&gt;26,IF('1. Required Start-Up Funds'!$M$45&lt;=1,ABS(PPMT($E10/12,27,$E11,$E9)),IF('1. Required Start-Up Funds'!$M$45=2,ABS(PPMT($E10/12,15,$E11,$E9)),ABS(PPMT($E10/12,3,$E11,$E9)))),0)</f>
        <v>0</v>
      </c>
      <c r="J24" s="31">
        <f>IF($E11&gt;27,IF('1. Required Start-Up Funds'!$M$45&lt;=1,ABS(PPMT($E10/12,28,$E11,$E9)),IF('1. Required Start-Up Funds'!$M$45=2,ABS(PPMT($E10/12,16,$E11,$E9)),ABS(PPMT($E10/12,4,$E11,$E9)))),0)</f>
        <v>0</v>
      </c>
      <c r="K24" s="31">
        <f>IF($E11&gt;28,IF('1. Required Start-Up Funds'!$M$45&lt;=1,ABS(PPMT($E10/12,29,$E11,$E9)),IF('1. Required Start-Up Funds'!$M$45=2,ABS(PPMT($E10/12,17,$E11,$E9)),ABS(PPMT($E10/12,5,$E11,$E9)))),0)</f>
        <v>0</v>
      </c>
      <c r="L24" s="31">
        <f>IF($E11&gt;29,IF('1. Required Start-Up Funds'!$M$45&lt;=1,ABS(PPMT($E10/12,30,$E11,$E9)),IF('1. Required Start-Up Funds'!$M$45=2,ABS(PPMT($E10/12,18,$E11,$E9)),ABS(PPMT($E10/12,6,$E11,$E9)))),0)</f>
        <v>0</v>
      </c>
      <c r="M24" s="31">
        <f>IF($E11&gt;30,IF('1. Required Start-Up Funds'!$M$45&lt;=1,ABS(PPMT($E10/12,31,$E11,$E9)),IF('1. Required Start-Up Funds'!$M$45=2,ABS(PPMT($E10/12,19,$E11,$E9)),ABS(PPMT($E10/12,7,$E11,$E9)))),0)</f>
        <v>0</v>
      </c>
      <c r="N24" s="31">
        <f>IF($E11&gt;31,IF('1. Required Start-Up Funds'!$M$45&lt;=1,ABS(PPMT($E10/12,32,$E11,$E9)),IF('1. Required Start-Up Funds'!$M$45=2,ABS(PPMT($E10/12,20,$E11,$E9)),ABS(PPMT($E10/12,8,$E11,$E9)))),0)</f>
        <v>0</v>
      </c>
      <c r="O24" s="31">
        <f>IF($E11&gt;32,IF('1. Required Start-Up Funds'!$M$45&lt;=1,ABS(PPMT($E10/12,33,$E11,$E9)),IF('1. Required Start-Up Funds'!$M$45=2,ABS(PPMT($E10/12,21,$E11,$E9)),ABS(PPMT($E10/12,9,$E11,$E9)))),0)</f>
        <v>0</v>
      </c>
      <c r="P24" s="31">
        <f>IF($E11&gt;33,IF('1. Required Start-Up Funds'!$M$45&lt;=1,ABS(PPMT($E10/12,34,$E11,$E9)),IF('1. Required Start-Up Funds'!$M$45=2,ABS(PPMT($E10/12,22,$E11,$E9)),ABS(PPMT($E10/12,10,$E11,$E9)))),0)</f>
        <v>0</v>
      </c>
      <c r="Q24" s="31">
        <f>IF($E11&gt;34,IF('1. Required Start-Up Funds'!$M$45&lt;=1,ABS(PPMT($E10/12,35,$E11,$E9)),IF('1. Required Start-Up Funds'!$M$45=2,ABS(PPMT($E10/12,23,$E11,$E9)),ABS(PPMT($E10/12,11,$E11,$E9)))),0)</f>
        <v>0</v>
      </c>
      <c r="R24" s="31">
        <f>IF($E11&gt;35,IF('1. Required Start-Up Funds'!$M$45&lt;=1,ABS(PPMT($E10/12,36,$E11,$E9)),IF('1. Required Start-Up Funds'!$M$45=2,ABS(PPMT($E10/12,24,$E11,$E9)),ABS(PPMT($E10/12,12,$E11,$E9)))),0)</f>
        <v>0</v>
      </c>
      <c r="S24" s="31">
        <f>SUM(G24:R24)</f>
        <v>0</v>
      </c>
    </row>
    <row r="25" spans="1:19" ht="12.75" customHeight="1">
      <c r="A25" s="24"/>
      <c r="B25" s="23"/>
      <c r="C25" s="23" t="s">
        <v>166</v>
      </c>
      <c r="D25" s="24"/>
      <c r="E25" s="24"/>
      <c r="F25" s="24"/>
      <c r="G25" s="70">
        <f>R21-G24</f>
        <v>0</v>
      </c>
      <c r="H25" s="70">
        <f>G25-H24</f>
        <v>0</v>
      </c>
      <c r="I25" s="70">
        <f t="shared" ref="I25:R25" si="4">H25-I24</f>
        <v>0</v>
      </c>
      <c r="J25" s="70">
        <f t="shared" si="4"/>
        <v>0</v>
      </c>
      <c r="K25" s="70">
        <f t="shared" si="4"/>
        <v>0</v>
      </c>
      <c r="L25" s="70">
        <f t="shared" si="4"/>
        <v>0</v>
      </c>
      <c r="M25" s="70">
        <f t="shared" si="4"/>
        <v>0</v>
      </c>
      <c r="N25" s="70">
        <f t="shared" si="4"/>
        <v>0</v>
      </c>
      <c r="O25" s="70">
        <f t="shared" si="4"/>
        <v>0</v>
      </c>
      <c r="P25" s="70">
        <f t="shared" si="4"/>
        <v>0</v>
      </c>
      <c r="Q25" s="70">
        <f t="shared" si="4"/>
        <v>0</v>
      </c>
      <c r="R25" s="70">
        <f t="shared" si="4"/>
        <v>0</v>
      </c>
      <c r="S25" s="70"/>
    </row>
    <row r="26" spans="1:19" ht="12.75" customHeight="1">
      <c r="A26" s="24"/>
      <c r="B26" s="23"/>
      <c r="C26" s="23"/>
      <c r="D26" s="24"/>
      <c r="E26" s="24"/>
      <c r="F26" s="24"/>
      <c r="G26" s="24"/>
      <c r="H26" s="24"/>
      <c r="I26" s="24"/>
      <c r="J26" s="24"/>
      <c r="K26" s="24"/>
      <c r="L26" s="24"/>
      <c r="M26" s="24"/>
      <c r="N26" s="24"/>
      <c r="O26" s="24"/>
      <c r="P26" s="24"/>
      <c r="Q26" s="24"/>
      <c r="R26" s="24"/>
      <c r="S26" s="24"/>
    </row>
    <row r="27" spans="1:19" ht="12.75" customHeight="1">
      <c r="A27" s="24"/>
      <c r="B27" s="23"/>
      <c r="C27" s="23"/>
      <c r="D27" s="24"/>
      <c r="E27" s="24"/>
      <c r="F27" s="24"/>
      <c r="G27" s="31"/>
      <c r="H27" s="24"/>
      <c r="I27" s="24"/>
      <c r="J27" s="24"/>
      <c r="K27" s="24"/>
      <c r="L27" s="24"/>
      <c r="M27" s="24"/>
      <c r="N27" s="24"/>
      <c r="O27" s="24"/>
      <c r="P27" s="24"/>
      <c r="Q27" s="24"/>
      <c r="R27" s="24"/>
      <c r="S27" s="24"/>
    </row>
    <row r="28" spans="1:19" ht="12.75" customHeight="1">
      <c r="A28" s="23" t="s">
        <v>270</v>
      </c>
      <c r="B28" s="23"/>
      <c r="C28" s="23"/>
      <c r="D28" s="24"/>
      <c r="E28" s="24"/>
      <c r="F28" s="24"/>
      <c r="G28" s="24"/>
      <c r="H28" s="24"/>
      <c r="I28" s="24"/>
      <c r="J28" s="24"/>
      <c r="K28" s="24"/>
      <c r="L28" s="24"/>
      <c r="M28" s="24"/>
      <c r="N28" s="24"/>
      <c r="O28" s="24"/>
      <c r="P28" s="24"/>
      <c r="Q28" s="24"/>
      <c r="R28" s="24"/>
      <c r="S28" s="24"/>
    </row>
    <row r="29" spans="1:19" ht="12.75" customHeight="1">
      <c r="A29" s="24"/>
      <c r="B29" s="23" t="s">
        <v>330</v>
      </c>
      <c r="C29" s="23"/>
      <c r="D29" s="24"/>
      <c r="E29" s="92">
        <f>'1. Required Start-Up Funds'!I46</f>
        <v>0</v>
      </c>
      <c r="F29" s="24"/>
      <c r="G29" s="24"/>
      <c r="H29" s="24"/>
      <c r="I29" s="24"/>
      <c r="J29" s="24"/>
      <c r="K29" s="24"/>
      <c r="L29" s="24"/>
      <c r="M29" s="24"/>
      <c r="N29" s="24"/>
      <c r="O29" s="24"/>
      <c r="P29" s="24"/>
      <c r="Q29" s="24"/>
      <c r="R29" s="24"/>
      <c r="S29" s="24"/>
    </row>
    <row r="30" spans="1:19" ht="12.75" customHeight="1">
      <c r="A30" s="24"/>
      <c r="B30" s="23" t="s">
        <v>332</v>
      </c>
      <c r="C30" s="23"/>
      <c r="D30" s="24"/>
      <c r="E30" s="36">
        <f>'1. Required Start-Up Funds'!J46</f>
        <v>0.08</v>
      </c>
      <c r="F30" s="24"/>
      <c r="G30" s="24"/>
      <c r="H30" s="24"/>
      <c r="I30" s="24"/>
      <c r="J30" s="24"/>
      <c r="K30" s="24"/>
      <c r="L30" s="24"/>
      <c r="M30" s="24"/>
      <c r="N30" s="24"/>
      <c r="O30" s="24"/>
      <c r="P30" s="24"/>
      <c r="Q30" s="24"/>
      <c r="R30" s="24"/>
      <c r="S30" s="24"/>
    </row>
    <row r="31" spans="1:19" ht="12.75" customHeight="1">
      <c r="A31" s="24"/>
      <c r="B31" s="23" t="s">
        <v>162</v>
      </c>
      <c r="C31" s="23"/>
      <c r="D31" s="24"/>
      <c r="E31" s="32">
        <f>'1. Required Start-Up Funds'!K46</f>
        <v>240</v>
      </c>
      <c r="F31" s="24"/>
      <c r="G31" s="24"/>
      <c r="H31" s="24"/>
      <c r="I31" s="24"/>
      <c r="J31" s="24"/>
      <c r="K31" s="24"/>
      <c r="L31" s="24"/>
      <c r="M31" s="24"/>
      <c r="N31" s="24"/>
      <c r="O31" s="24"/>
      <c r="P31" s="24"/>
      <c r="Q31" s="24"/>
      <c r="R31" s="24"/>
      <c r="S31" s="24"/>
    </row>
    <row r="32" spans="1:19" ht="12.75" customHeight="1">
      <c r="A32" s="24"/>
      <c r="B32" s="23" t="s">
        <v>165</v>
      </c>
      <c r="C32" s="23"/>
      <c r="D32" s="24"/>
      <c r="E32" s="34">
        <f>ABS(PMT(E30/12,E31,E29))</f>
        <v>0</v>
      </c>
      <c r="F32" s="24"/>
      <c r="G32" s="24"/>
      <c r="H32" s="24"/>
      <c r="I32" s="24"/>
      <c r="J32" s="24"/>
      <c r="K32" s="24"/>
      <c r="L32" s="24"/>
      <c r="M32" s="24"/>
      <c r="N32" s="24"/>
      <c r="O32" s="24"/>
      <c r="P32" s="24"/>
      <c r="Q32" s="24"/>
      <c r="R32" s="24"/>
      <c r="S32" s="24"/>
    </row>
    <row r="33" spans="1:19" ht="12.75" customHeight="1">
      <c r="A33" s="24"/>
      <c r="B33" s="23"/>
      <c r="C33" s="23"/>
      <c r="D33" s="24"/>
      <c r="E33" s="24"/>
      <c r="F33" s="24"/>
      <c r="G33" s="24"/>
      <c r="H33" s="24"/>
      <c r="I33" s="24"/>
      <c r="J33" s="24"/>
      <c r="K33" s="24"/>
      <c r="L33" s="24"/>
      <c r="M33" s="24"/>
      <c r="N33" s="24"/>
      <c r="O33" s="24"/>
      <c r="P33" s="24"/>
      <c r="Q33" s="24"/>
      <c r="R33" s="24"/>
      <c r="S33" s="24"/>
    </row>
    <row r="34" spans="1:19" ht="12.75" customHeight="1">
      <c r="A34" s="24"/>
      <c r="B34" s="23" t="s">
        <v>283</v>
      </c>
      <c r="C34" s="23"/>
      <c r="D34" s="24"/>
      <c r="E34" s="24"/>
      <c r="F34" s="24"/>
      <c r="G34" s="24"/>
      <c r="H34" s="24"/>
      <c r="I34" s="24"/>
      <c r="J34" s="24"/>
      <c r="K34" s="24"/>
      <c r="L34" s="24"/>
      <c r="M34" s="24"/>
      <c r="N34" s="24"/>
      <c r="O34" s="24"/>
      <c r="P34" s="24"/>
      <c r="Q34" s="24"/>
      <c r="R34" s="24"/>
      <c r="S34" s="24"/>
    </row>
    <row r="35" spans="1:19" ht="12.75" customHeight="1">
      <c r="A35" s="24"/>
      <c r="B35" s="23"/>
      <c r="C35" s="23" t="s">
        <v>326</v>
      </c>
      <c r="D35" s="24"/>
      <c r="E35" s="24"/>
      <c r="F35" s="24"/>
      <c r="G35" s="31">
        <f>ABS(IPMT($E$30/12,1,$E$31,$E$29))</f>
        <v>0</v>
      </c>
      <c r="H35" s="31">
        <f>ABS(IPMT($E$30/12,2,$E$31,$E$29))</f>
        <v>0</v>
      </c>
      <c r="I35" s="31">
        <f>ABS(IPMT($E$30/12,3,$E$31,$E$29))</f>
        <v>0</v>
      </c>
      <c r="J35" s="31">
        <f>ABS(IPMT($E$30/12,4,$E$31,$E$29))</f>
        <v>0</v>
      </c>
      <c r="K35" s="31">
        <f>ABS(IPMT($E$30/12,5,$E$31,$E$29))</f>
        <v>0</v>
      </c>
      <c r="L35" s="31">
        <f>ABS(IPMT($E$30/12,6,$E$31,$E$29))</f>
        <v>0</v>
      </c>
      <c r="M35" s="31">
        <f>ABS(IPMT($E$30/12,7,$E$31,$E$29))</f>
        <v>0</v>
      </c>
      <c r="N35" s="31">
        <f>ABS(IPMT($E$30/12,8,$E$31,$E$29))</f>
        <v>0</v>
      </c>
      <c r="O35" s="31">
        <f>ABS(IPMT($E$30/12,9,$E$31,$E$29))</f>
        <v>0</v>
      </c>
      <c r="P35" s="31">
        <f>ABS(IPMT($E$30/12,10,$E$31,$E$29))</f>
        <v>0</v>
      </c>
      <c r="Q35" s="31">
        <f>ABS(IPMT($E$30/12,11,$E$31,$E$29))</f>
        <v>0</v>
      </c>
      <c r="R35" s="31">
        <f>ABS(IPMT($E$30/12,12,$E$31,$E$29))</f>
        <v>0</v>
      </c>
      <c r="S35" s="31">
        <f>SUM(G35:R35)</f>
        <v>0</v>
      </c>
    </row>
    <row r="36" spans="1:19" ht="12.75" customHeight="1">
      <c r="A36" s="24"/>
      <c r="B36" s="23"/>
      <c r="C36" s="23" t="s">
        <v>164</v>
      </c>
      <c r="D36" s="24"/>
      <c r="E36" s="24"/>
      <c r="F36" s="24"/>
      <c r="G36" s="31">
        <f>ABS(PPMT($E$30/12,1,$E$31,$E$29))</f>
        <v>0</v>
      </c>
      <c r="H36" s="31">
        <f>ABS(PPMT($E$30/12,2,$E$31,$E$29))</f>
        <v>0</v>
      </c>
      <c r="I36" s="31">
        <f>ABS(PPMT($E$30/12,3,$E$31,$E$29))</f>
        <v>0</v>
      </c>
      <c r="J36" s="31">
        <f>ABS(PPMT($E$30/12,4,$E$31,$E$29))</f>
        <v>0</v>
      </c>
      <c r="K36" s="31">
        <f>ABS(PPMT($E$30/12,5,$E$31,$E$29))</f>
        <v>0</v>
      </c>
      <c r="L36" s="31">
        <f>ABS(PPMT($E$30/12,6,$E$31,$E$29))</f>
        <v>0</v>
      </c>
      <c r="M36" s="31">
        <f>ABS(PPMT($E$30/12,7,$E$31,$E$29))</f>
        <v>0</v>
      </c>
      <c r="N36" s="31">
        <f>ABS(PPMT($E$30/12,8,$E$31,$E$29))</f>
        <v>0</v>
      </c>
      <c r="O36" s="31">
        <f>ABS(PPMT($E$30/12,9,$E$31,$E$29))</f>
        <v>0</v>
      </c>
      <c r="P36" s="31">
        <f>ABS(PPMT($E$30/12,10,$E$31,$E$29))</f>
        <v>0</v>
      </c>
      <c r="Q36" s="31">
        <f>ABS(PPMT($E$30/12,11,$E$31,$E$29))</f>
        <v>0</v>
      </c>
      <c r="R36" s="31">
        <f>ABS(PPMT($E$30/12,12,$E$31,$E$29))</f>
        <v>0</v>
      </c>
      <c r="S36" s="31">
        <f>SUM(G36:R36)</f>
        <v>0</v>
      </c>
    </row>
    <row r="37" spans="1:19" ht="12.75" customHeight="1">
      <c r="A37" s="24"/>
      <c r="B37" s="23"/>
      <c r="C37" s="23" t="s">
        <v>166</v>
      </c>
      <c r="D37" s="24"/>
      <c r="E37" s="24"/>
      <c r="F37" s="24"/>
      <c r="G37" s="31">
        <f>E29-G36</f>
        <v>0</v>
      </c>
      <c r="H37" s="70">
        <f>G37-H36</f>
        <v>0</v>
      </c>
      <c r="I37" s="70">
        <f t="shared" ref="I37:R37" si="5">H37-I36</f>
        <v>0</v>
      </c>
      <c r="J37" s="70">
        <f t="shared" si="5"/>
        <v>0</v>
      </c>
      <c r="K37" s="70">
        <f t="shared" si="5"/>
        <v>0</v>
      </c>
      <c r="L37" s="70">
        <f t="shared" si="5"/>
        <v>0</v>
      </c>
      <c r="M37" s="70">
        <f t="shared" si="5"/>
        <v>0</v>
      </c>
      <c r="N37" s="70">
        <f t="shared" si="5"/>
        <v>0</v>
      </c>
      <c r="O37" s="70">
        <f t="shared" si="5"/>
        <v>0</v>
      </c>
      <c r="P37" s="70">
        <f t="shared" si="5"/>
        <v>0</v>
      </c>
      <c r="Q37" s="70">
        <f t="shared" si="5"/>
        <v>0</v>
      </c>
      <c r="R37" s="70">
        <f t="shared" si="5"/>
        <v>0</v>
      </c>
      <c r="S37" s="70"/>
    </row>
    <row r="38" spans="1:19" ht="12.75" customHeight="1">
      <c r="A38" s="24"/>
      <c r="B38" s="23" t="s">
        <v>293</v>
      </c>
      <c r="C38" s="23"/>
      <c r="D38" s="24"/>
      <c r="E38" s="24"/>
      <c r="F38" s="24"/>
      <c r="G38" s="24"/>
      <c r="H38" s="24"/>
      <c r="I38" s="24"/>
      <c r="J38" s="24"/>
      <c r="K38" s="24"/>
      <c r="L38" s="24"/>
      <c r="M38" s="24"/>
      <c r="N38" s="24"/>
      <c r="O38" s="24"/>
      <c r="P38" s="24"/>
      <c r="Q38" s="24"/>
      <c r="R38" s="24"/>
      <c r="S38" s="24"/>
    </row>
    <row r="39" spans="1:19" ht="12.75" customHeight="1">
      <c r="A39" s="24"/>
      <c r="B39" s="23"/>
      <c r="C39" s="23" t="s">
        <v>326</v>
      </c>
      <c r="D39" s="24"/>
      <c r="E39" s="24"/>
      <c r="F39" s="24"/>
      <c r="G39" s="31">
        <f>IF($E31&gt;12,IF('1. Required Start-Up Funds'!$M$46&lt;=1,ABS(IPMT($E30/12,13,$E31,$E29)),IF('1. Required Start-Up Funds'!$M$46=2,ABS(IPMT($E30/12,1,$E31,$E29)),$E29*$E30/12)),0)</f>
        <v>0</v>
      </c>
      <c r="H39" s="31">
        <f>IF($E31&gt;13,IF('1. Required Start-Up Funds'!$M$46&lt;=1,ABS(IPMT($E30/12,14,$E31,$E29)),IF('1. Required Start-Up Funds'!$M$46=2,ABS(IPMT($E30/12,2,$E31,$E29)),$E29*$E30/12)),0)</f>
        <v>0</v>
      </c>
      <c r="I39" s="31">
        <f>IF($E31&gt;14,IF('1. Required Start-Up Funds'!$M$46&lt;=1,ABS(IPMT($E30/12,15,$E31,$E29)),IF('1. Required Start-Up Funds'!$M$46=2,ABS(IPMT($E30/12,3,$E31,$E29)),$E29*$E30/12)),0)</f>
        <v>0</v>
      </c>
      <c r="J39" s="31">
        <f>IF($E31&gt;15,IF('1. Required Start-Up Funds'!$M$46&lt;=1,ABS(IPMT($E30/12,16,$E31,$E29)),IF('1. Required Start-Up Funds'!$M$46=2,ABS(IPMT($E30/12,4,$E31,$E29)),$E29*$E30/12)),0)</f>
        <v>0</v>
      </c>
      <c r="K39" s="31">
        <f>IF($E31&gt;16,IF('1. Required Start-Up Funds'!$M$46&lt;=1,ABS(IPMT($E30/12,17,$E31,$E29)),IF('1. Required Start-Up Funds'!$M$46=2,ABS(IPMT($E30/12,5,$E31,$E29)),$E29*$E30/12)),0)</f>
        <v>0</v>
      </c>
      <c r="L39" s="31">
        <f>IF($E31&gt;17,IF('1. Required Start-Up Funds'!$M$46&lt;=1,ABS(IPMT($E30/12,18,$E31,$E29)),IF('1. Required Start-Up Funds'!$M$46=2,ABS(IPMT($E30/12,6,$E31,$E29)),$E29*$E30/12)),0)</f>
        <v>0</v>
      </c>
      <c r="M39" s="31">
        <f>IF($E31&gt;18,IF('1. Required Start-Up Funds'!$M$46&lt;=1,ABS(IPMT($E30/12,19,$E31,$E29)),IF('1. Required Start-Up Funds'!$M$46=2,ABS(IPMT($E30/12,7,$E31,$E29)),$E29*$E30/12)),0)</f>
        <v>0</v>
      </c>
      <c r="N39" s="31">
        <f>IF($E31&gt;19,IF('1. Required Start-Up Funds'!$M$46&lt;=1,ABS(IPMT($E30/12,20,$E31,$E29)),IF('1. Required Start-Up Funds'!$M$46=2,ABS(IPMT($E30/12,8,$E31,$E29)),$E29*$E30/12)),0)</f>
        <v>0</v>
      </c>
      <c r="O39" s="31">
        <f>IF($E31&gt;20,IF('1. Required Start-Up Funds'!$M$46&lt;=1,ABS(IPMT($E30/12,21,$E31,$E29)),IF('1. Required Start-Up Funds'!$M$46=2,ABS(IPMT($E30/12,9,$E31,$E29)),$E29*$E30/12)),0)</f>
        <v>0</v>
      </c>
      <c r="P39" s="31">
        <f>IF($E31&gt;21,IF('1. Required Start-Up Funds'!$M$46&lt;=1,ABS(IPMT($E30/12,22,$E31,$E29)),IF('1. Required Start-Up Funds'!$M$46=2,ABS(IPMT($E30/12,10,$E31,$E29)),$E29*$E30/12)),0)</f>
        <v>0</v>
      </c>
      <c r="Q39" s="31">
        <f>IF($E31&gt;22,IF('1. Required Start-Up Funds'!$M$46&lt;=1,ABS(IPMT($E30/12,23,$E31,$E29)),IF('1. Required Start-Up Funds'!$M$46=2,ABS(IPMT($E30/12,11,$E31,$E29)),$E29*$E30/12)),0)</f>
        <v>0</v>
      </c>
      <c r="R39" s="31">
        <f>IF($E31&gt;23,IF('1. Required Start-Up Funds'!$M$46&lt;=1,ABS(IPMT($E30/12,24,$E31,$E29)),IF('1. Required Start-Up Funds'!$M$46=2,ABS(IPMT($E30/12,12,$E31,$E29)),$E29*$E30/12)),0)</f>
        <v>0</v>
      </c>
      <c r="S39" s="31">
        <f>SUM(G39:R39)</f>
        <v>0</v>
      </c>
    </row>
    <row r="40" spans="1:19" ht="12.75" customHeight="1">
      <c r="A40" s="24"/>
      <c r="B40" s="23"/>
      <c r="C40" s="23" t="s">
        <v>164</v>
      </c>
      <c r="D40" s="24"/>
      <c r="E40" s="24"/>
      <c r="F40" s="24"/>
      <c r="G40" s="31">
        <f>IF($E31&gt;12,IF('1. Required Start-Up Funds'!$M$46&lt;=1,ABS(PPMT($E30/12,13,$E31,$E29)),IF('1. Required Start-Up Funds'!$M$46=2,ABS(PPMT($E30/12,1,$E31,$E29)),0)),0)</f>
        <v>0</v>
      </c>
      <c r="H40" s="31">
        <f>IF($E31&gt;13,IF('1. Required Start-Up Funds'!$M$46&lt;=1,ABS(PPMT($E30/12,14,$E31,$E29)),IF('1. Required Start-Up Funds'!#REF!=2,ABS(PPMT($E30/12,2,$E31,$E29)),0)),0)</f>
        <v>0</v>
      </c>
      <c r="I40" s="31">
        <f>IF($E31&gt;14,IF('1. Required Start-Up Funds'!$M$46&lt;=1,ABS(PPMT($E30/12,15,$E31,$E29)),IF('1. Required Start-Up Funds'!$M$46=2,ABS(PPMT($E30/12,3,$E31,$E29)),0)),0)</f>
        <v>0</v>
      </c>
      <c r="J40" s="31">
        <f>IF($E31&gt;15,IF('1. Required Start-Up Funds'!$M$46&lt;=1,ABS(PPMT($E30/12,16,$E31,$E29)),IF('1. Required Start-Up Funds'!$M$46=2,ABS(PPMT($E30/12,4,$E31,$E29)),0)),0)</f>
        <v>0</v>
      </c>
      <c r="K40" s="31">
        <f>IF($E31&gt;16,IF('1. Required Start-Up Funds'!$M$46&lt;=1,ABS(PPMT($E30/12,17,$E31,$E29)),IF('1. Required Start-Up Funds'!$M$46=2,ABS(PPMT($E30/12,5,$E31,$E29)),0)),0)</f>
        <v>0</v>
      </c>
      <c r="L40" s="31">
        <f>IF($E31&gt;17,IF('1. Required Start-Up Funds'!$M$46&lt;=1,ABS(PPMT($E30/12,18,$E31,$E29)),IF('1. Required Start-Up Funds'!$M$46=2,ABS(PPMT($E30/12,6,$E31,$E29)),0)),0)</f>
        <v>0</v>
      </c>
      <c r="M40" s="31">
        <f>IF($E31&gt;18,IF('1. Required Start-Up Funds'!$M$46&lt;=1,ABS(PPMT($E30/12,19,$E31,$E29)),IF('1. Required Start-Up Funds'!$M$46=2,ABS(PPMT($E30/12,7,$E31,$E29)),0)),0)</f>
        <v>0</v>
      </c>
      <c r="N40" s="31">
        <f>IF($E31&gt;19,IF('1. Required Start-Up Funds'!$M$46&lt;=1,ABS(PPMT($E30/12,20,$E31,$E29)),IF('1. Required Start-Up Funds'!$M$46=2,ABS(PPMT($E30/12,8,$E31,$E29)),0)),0)</f>
        <v>0</v>
      </c>
      <c r="O40" s="31">
        <f>IF($E31&gt;20,IF('1. Required Start-Up Funds'!$M$46&lt;=1,ABS(PPMT($E30/12,21,$E31,$E29)),IF('1. Required Start-Up Funds'!$M$46=2,ABS(PPMT($E30/12,9,$E31,$E29)),0)),0)</f>
        <v>0</v>
      </c>
      <c r="P40" s="31">
        <f>IF($E31&gt;21,IF('1. Required Start-Up Funds'!$M$46&lt;=1,ABS(PPMT($E30/12,22,$E31,$E29)),IF('1. Required Start-Up Funds'!$M$46=2,ABS(PPMT($E30/12,10,$E31,$E29)),0)),0)</f>
        <v>0</v>
      </c>
      <c r="Q40" s="31">
        <f>IF($E31&gt;22,IF('1. Required Start-Up Funds'!$M$46&lt;=1,ABS(PPMT($E30/12,23,$E31,$E29)),IF('1. Required Start-Up Funds'!$M$46=2,ABS(PPMT($E30/12,11,$E31,$E29)),0)),0)</f>
        <v>0</v>
      </c>
      <c r="R40" s="31">
        <f>IF($E31&gt;23,IF('1. Required Start-Up Funds'!$M$46&lt;=1,ABS(PPMT($E30/12,24,$E31,$E29)),IF('1. Required Start-Up Funds'!$M$46=2,ABS(PPMT($E30/12,12,$E31,$E29)),0)),0)</f>
        <v>0</v>
      </c>
      <c r="S40" s="31">
        <f>SUM(G40:R40)</f>
        <v>0</v>
      </c>
    </row>
    <row r="41" spans="1:19" ht="12.75" customHeight="1">
      <c r="A41" s="24"/>
      <c r="B41" s="23"/>
      <c r="C41" s="23" t="s">
        <v>166</v>
      </c>
      <c r="D41" s="24"/>
      <c r="E41" s="24"/>
      <c r="F41" s="24"/>
      <c r="G41" s="70">
        <f>R37-G40</f>
        <v>0</v>
      </c>
      <c r="H41" s="93">
        <f>G41-H40</f>
        <v>0</v>
      </c>
      <c r="I41" s="93">
        <f t="shared" ref="I41:R41" si="6">H41-I40</f>
        <v>0</v>
      </c>
      <c r="J41" s="93">
        <f t="shared" si="6"/>
        <v>0</v>
      </c>
      <c r="K41" s="93">
        <f t="shared" si="6"/>
        <v>0</v>
      </c>
      <c r="L41" s="93">
        <f t="shared" si="6"/>
        <v>0</v>
      </c>
      <c r="M41" s="93">
        <f t="shared" si="6"/>
        <v>0</v>
      </c>
      <c r="N41" s="93">
        <f t="shared" si="6"/>
        <v>0</v>
      </c>
      <c r="O41" s="93">
        <f t="shared" si="6"/>
        <v>0</v>
      </c>
      <c r="P41" s="93">
        <f t="shared" si="6"/>
        <v>0</v>
      </c>
      <c r="Q41" s="93">
        <f t="shared" si="6"/>
        <v>0</v>
      </c>
      <c r="R41" s="93">
        <f t="shared" si="6"/>
        <v>0</v>
      </c>
      <c r="S41" s="24"/>
    </row>
    <row r="42" spans="1:19" ht="12.75" customHeight="1">
      <c r="A42" s="24"/>
      <c r="B42" s="23" t="s">
        <v>284</v>
      </c>
      <c r="C42" s="23"/>
      <c r="D42" s="24"/>
      <c r="E42" s="24"/>
      <c r="F42" s="24"/>
      <c r="G42" s="24"/>
      <c r="H42" s="24"/>
      <c r="I42" s="24"/>
      <c r="J42" s="24"/>
      <c r="K42" s="24"/>
      <c r="L42" s="24"/>
      <c r="M42" s="24"/>
      <c r="N42" s="24"/>
      <c r="O42" s="24"/>
      <c r="P42" s="24"/>
      <c r="Q42" s="24"/>
      <c r="R42" s="24"/>
      <c r="S42" s="24"/>
    </row>
    <row r="43" spans="1:19" ht="12.75" customHeight="1">
      <c r="A43" s="24"/>
      <c r="B43" s="23"/>
      <c r="C43" s="23" t="s">
        <v>326</v>
      </c>
      <c r="D43" s="24"/>
      <c r="E43" s="24"/>
      <c r="F43" s="24"/>
      <c r="G43" s="31">
        <f>IF($E31&gt;24,IF('1. Required Start-Up Funds'!$M$46&lt;=1,ABS(IPMT($E30/12,25,$E31,$E29)),IF('1. Required Start-Up Funds'!$M$46=2,ABS(IPMT($E30/12,13,$E31,$E29)),ABS(IPMT($E30/12,1,$E31,$E29)))),0)</f>
        <v>0</v>
      </c>
      <c r="H43" s="31">
        <f>IF($E31&gt;25,IF('1. Required Start-Up Funds'!$M$46&lt;=1,ABS(IPMT($E30/12,26,$E31,$E29)),IF('1. Required Start-Up Funds'!$M$46=2,ABS(IPMT($E30/12,14,$E31,$E29)),ABS(IPMT($E30/12,2,$E31,$E29)))),0)</f>
        <v>0</v>
      </c>
      <c r="I43" s="31">
        <f>IF($E31&gt;26,IF('1. Required Start-Up Funds'!$M$46&lt;=1,ABS(IPMT($E30/12,27,$E31,$E29)),IF('1. Required Start-Up Funds'!$M$46=2,ABS(IPMT($E30/12,15,$E31,$E29)),ABS(IPMT($E30/12,3,$E31,$E29)))),0)</f>
        <v>0</v>
      </c>
      <c r="J43" s="31">
        <f>IF($E31&gt;27,IF('1. Required Start-Up Funds'!$M$46&lt;=1,ABS(IPMT($E30/12,28,$E31,$E29)),IF('1. Required Start-Up Funds'!$M$46=2,ABS(IPMT($E30/12,16,$E31,$E29)),ABS(IPMT($E30/12,4,$E31,$E29)))),0)</f>
        <v>0</v>
      </c>
      <c r="K43" s="31">
        <f>IF($E31&gt;28,IF('1. Required Start-Up Funds'!$M$46&lt;=1,ABS(IPMT($E30/12,29,$E31,$E29)),IF('1. Required Start-Up Funds'!$M$46=2,ABS(IPMT($E30/12,17,$E31,$E29)),ABS(IPMT(E$90/12,5,$E31,$E29)))),0)</f>
        <v>0</v>
      </c>
      <c r="L43" s="31">
        <f>IF($E31&gt;29,IF('1. Required Start-Up Funds'!$M$46&lt;=1,ABS(IPMT($E30/12,30,$E31,$E29)),IF('1. Required Start-Up Funds'!$M$46=2,ABS(IPMT($E30/12,18,$E31,$E29)),ABS(IPMT($E30/12,6,$E31,$E29)))),0)</f>
        <v>0</v>
      </c>
      <c r="M43" s="31">
        <f>IF($E31&gt;30,IF('1. Required Start-Up Funds'!$M$46&lt;=1,ABS(IPMT($E30/12,31,$E31,$E29)),IF('1. Required Start-Up Funds'!$M$46=2,ABS(IPMT($E30/12,19,$E31,$E29)),ABS(IPMT($E30/12,7,$E31,$E29)))),0)</f>
        <v>0</v>
      </c>
      <c r="N43" s="31">
        <f>IF($E31&gt;31,IF('1. Required Start-Up Funds'!$M$46&lt;=1,ABS(IPMT($E30/12,32,$E31,$E29)),IF('1. Required Start-Up Funds'!$M$46=2,ABS(IPMT($E30/12,20,$E31,$E29)),ABS(IPMT($E30/12,8,$E31,$E29)))),0)</f>
        <v>0</v>
      </c>
      <c r="O43" s="31">
        <f>IF($E31&gt;32,IF('1. Required Start-Up Funds'!$M$46&lt;=1,ABS(IPMT($E30/12,33,$E31,$E29)),IF('1. Required Start-Up Funds'!$M$46=2,ABS(IPMT($E30/12,21,$E31,$E29)),ABS(IPMT($E30/12,9,$E31,$E29)))),0)</f>
        <v>0</v>
      </c>
      <c r="P43" s="31">
        <f>IF($E31&gt;33,IF('1. Required Start-Up Funds'!$M$46&lt;=1,ABS(IPMT($E30/12,34,$E31,$E29)),IF('1. Required Start-Up Funds'!$M$46=2,ABS(IPMT($E30/12,22,$E31,$E29)),ABS(IPMT($E30/12,10,$E31,$E29)))),0)</f>
        <v>0</v>
      </c>
      <c r="Q43" s="31">
        <f>IF($E31&gt;34,IF('1. Required Start-Up Funds'!$M$46&lt;=1,ABS(IPMT($E30/12,35,$E31,$E29)),IF('1. Required Start-Up Funds'!#REF!=2,ABS(IPMT($E30/12,23,$E31,$E29)),ABS(IPMT($E30/12,11,$E31,$E29)))),0)</f>
        <v>0</v>
      </c>
      <c r="R43" s="31">
        <f>IF($E31&gt;35,IF('1. Required Start-Up Funds'!$M$46&lt;=1,ABS(IPMT($E30/12,36,$E31,$E29)),IF('1. Required Start-Up Funds'!$M$46=2,ABS(IPMT($E30/12,24,$E31,$E29)),ABS(IPMT($E30/12,12,$E31,$E29)))),0)</f>
        <v>0</v>
      </c>
      <c r="S43" s="31">
        <f>SUM(G43:R43)</f>
        <v>0</v>
      </c>
    </row>
    <row r="44" spans="1:19" ht="12.75" customHeight="1">
      <c r="A44" s="24"/>
      <c r="B44" s="23"/>
      <c r="C44" s="23" t="s">
        <v>164</v>
      </c>
      <c r="D44" s="24"/>
      <c r="E44" s="24"/>
      <c r="F44" s="24"/>
      <c r="G44" s="31">
        <f>IF($E31&gt;24,IF('1. Required Start-Up Funds'!$M$46&lt;=1,ABS(PPMT($E30/12,25,$E31,$E29)),IF('1. Required Start-Up Funds'!$M$46=2,ABS(PPMT($E30/12,13,$E31,$E29)),ABS(PPMT($E30/12,1,$E31,$E29)))),0)</f>
        <v>0</v>
      </c>
      <c r="H44" s="31">
        <f>IF($E31&gt;25,IF('1. Required Start-Up Funds'!$M$46&lt;=1,ABS(PPMT($E30/12,26,$E31,$E29)),IF('1. Required Start-Up Funds'!$M$46=2,ABS(PPMT($E30/12,14,$E31,$E29)),ABS(PPMT($E30/12,2,$E31,$E29)))),0)</f>
        <v>0</v>
      </c>
      <c r="I44" s="31">
        <f>IF($E31&gt;26,IF('1. Required Start-Up Funds'!$M$46&lt;=1,ABS(PPMT($E30/12,27,$E31,$E29)),IF('1. Required Start-Up Funds'!$M$46=2,ABS(PPMT($E30/12,15,$E31,$E29)),ABS(PPMT($E30/12,3,$E31,$E29)))),0)</f>
        <v>0</v>
      </c>
      <c r="J44" s="31">
        <f>IF($E31&gt;27,IF('1. Required Start-Up Funds'!$M$46&lt;=1,ABS(PPMT($E30/12,28,$E31,$E29)),IF('1. Required Start-Up Funds'!$M$46=2,ABS(PPMT($E30/12,16,$E31,$E29)),ABS(PPMT($E30/12,4,$E31,$E29)))),0)</f>
        <v>0</v>
      </c>
      <c r="K44" s="31">
        <f>IF($E31&gt;28,IF('1. Required Start-Up Funds'!$M$46&lt;=1,ABS(PPMT($E30/12,29,$E31,$E29)),IF('1. Required Start-Up Funds'!$M$46=2,ABS(PPMT($E30/12,17,$E31,$E29)),ABS(PPMT($E30/12,5,$E31,$E29)))),0)</f>
        <v>0</v>
      </c>
      <c r="L44" s="31">
        <f>IF($E31&gt;29,IF('1. Required Start-Up Funds'!$M$46&lt;=1,ABS(PPMT($E30/12,30,$E31,$E29)),IF('1. Required Start-Up Funds'!$M$46=2,ABS(PPMT($E30/12,18,$E31,$E29)),ABS(PPMT($E30/12,6,$E31,$E29)))),0)</f>
        <v>0</v>
      </c>
      <c r="M44" s="31">
        <f>IF($E31&gt;30,IF('1. Required Start-Up Funds'!$M$46&lt;=1,ABS(PPMT($E30/12,31,$E31,$E29)),IF('1. Required Start-Up Funds'!$M$46=2,ABS(PPMT($E30/12,19,$E31,$E29)),ABS(PPMT($E30/12,7,$E31,$E29)))),0)</f>
        <v>0</v>
      </c>
      <c r="N44" s="31">
        <f>IF($E31&gt;31,IF('1. Required Start-Up Funds'!$M$46&lt;=1,ABS(PPMT($E30/12,32,$E31,$E29)),IF('1. Required Start-Up Funds'!$M$46=2,ABS(PPMT($E30/12,20,$E31,$E29)),ABS(PPMT($E30/12,8,$E31,$E29)))),0)</f>
        <v>0</v>
      </c>
      <c r="O44" s="31">
        <f>IF($E31&gt;32,IF('1. Required Start-Up Funds'!$M$46&lt;=1,ABS(PPMT($E30/12,33,$E31,$E29)),IF('1. Required Start-Up Funds'!$M$46=2,ABS(PPMT($E30/12,21,$E31,$E29)),ABS(PPMT($E30/12,9,$E31,$E29)))),0)</f>
        <v>0</v>
      </c>
      <c r="P44" s="31">
        <f>IF($E31&gt;33,IF('1. Required Start-Up Funds'!$M$46&lt;=1,ABS(PPMT($E30/12,34,$E31,$E29)),IF('1. Required Start-Up Funds'!$M$46=2,ABS(PPMT($E30/12,22,$E31,$E29)),ABS(PPMT($E30/12,10,$E31,$E29)))),0)</f>
        <v>0</v>
      </c>
      <c r="Q44" s="31">
        <f>IF($E31&gt;34,IF('1. Required Start-Up Funds'!$M$46&lt;=1,ABS(PPMT($E30/12,35,$E31,$E29)),IF('1. Required Start-Up Funds'!$M$46=2,ABS(PPMT($E30/12,23,$E31,$E29)),ABS(PPMT($E30/12,11,$E31,$E29)))),0)</f>
        <v>0</v>
      </c>
      <c r="R44" s="31">
        <f>IF($E31&gt;35,IF('1. Required Start-Up Funds'!$M$46&lt;=1,ABS(PPMT($E30/12,36,$E31,$E29)),IF('1. Required Start-Up Funds'!$M$46=2,ABS(PPMT($E30/12,24,$E31,$E29)),ABS(PPMT($E30/12,12,$E31,$E29)))),0)</f>
        <v>0</v>
      </c>
      <c r="S44" s="31">
        <f>SUM(G44:R44)</f>
        <v>0</v>
      </c>
    </row>
    <row r="45" spans="1:19" ht="12.75" customHeight="1">
      <c r="A45" s="24"/>
      <c r="B45" s="23"/>
      <c r="C45" s="23" t="s">
        <v>166</v>
      </c>
      <c r="D45" s="24"/>
      <c r="E45" s="24"/>
      <c r="F45" s="24"/>
      <c r="G45" s="70">
        <f>R41-G44</f>
        <v>0</v>
      </c>
      <c r="H45" s="70">
        <f>G45-H44</f>
        <v>0</v>
      </c>
      <c r="I45" s="70">
        <f t="shared" ref="I45:R45" si="7">H45-I44</f>
        <v>0</v>
      </c>
      <c r="J45" s="70">
        <f t="shared" si="7"/>
        <v>0</v>
      </c>
      <c r="K45" s="70">
        <f t="shared" si="7"/>
        <v>0</v>
      </c>
      <c r="L45" s="70">
        <f t="shared" si="7"/>
        <v>0</v>
      </c>
      <c r="M45" s="70">
        <f t="shared" si="7"/>
        <v>0</v>
      </c>
      <c r="N45" s="70">
        <f t="shared" si="7"/>
        <v>0</v>
      </c>
      <c r="O45" s="70">
        <f t="shared" si="7"/>
        <v>0</v>
      </c>
      <c r="P45" s="70">
        <f t="shared" si="7"/>
        <v>0</v>
      </c>
      <c r="Q45" s="70">
        <f t="shared" si="7"/>
        <v>0</v>
      </c>
      <c r="R45" s="70">
        <f t="shared" si="7"/>
        <v>0</v>
      </c>
      <c r="S45" s="24"/>
    </row>
    <row r="46" spans="1:19" ht="12.75" customHeight="1">
      <c r="A46" s="24"/>
      <c r="B46" s="23"/>
      <c r="C46" s="23"/>
      <c r="D46" s="24"/>
      <c r="E46" s="24"/>
      <c r="F46" s="24"/>
      <c r="G46" s="24"/>
      <c r="H46" s="24"/>
      <c r="I46" s="24"/>
      <c r="J46" s="24"/>
      <c r="K46" s="24"/>
      <c r="L46" s="24"/>
      <c r="M46" s="24"/>
      <c r="N46" s="24"/>
      <c r="O46" s="24"/>
      <c r="P46" s="24"/>
      <c r="Q46" s="24"/>
      <c r="R46" s="24"/>
      <c r="S46" s="24"/>
    </row>
    <row r="47" spans="1:19" ht="12.75" customHeight="1">
      <c r="A47" s="24"/>
      <c r="B47" s="23"/>
      <c r="C47" s="23"/>
      <c r="D47" s="24"/>
      <c r="E47" s="24"/>
      <c r="F47" s="24"/>
      <c r="G47" s="24"/>
      <c r="H47" s="24"/>
      <c r="I47" s="24"/>
      <c r="J47" s="24"/>
      <c r="K47" s="24"/>
      <c r="L47" s="24"/>
      <c r="M47" s="24"/>
      <c r="N47" s="24"/>
      <c r="O47" s="24"/>
      <c r="P47" s="24"/>
      <c r="Q47" s="24"/>
      <c r="R47" s="24"/>
      <c r="S47" s="24"/>
    </row>
    <row r="48" spans="1:19" ht="12.75" customHeight="1">
      <c r="A48" s="23" t="s">
        <v>100</v>
      </c>
      <c r="B48" s="23"/>
      <c r="C48" s="23"/>
      <c r="D48" s="24"/>
      <c r="E48" s="24"/>
      <c r="F48" s="24"/>
      <c r="G48" s="24"/>
      <c r="H48" s="24"/>
      <c r="I48" s="24"/>
      <c r="J48" s="24"/>
      <c r="K48" s="24"/>
      <c r="L48" s="24"/>
      <c r="M48" s="24"/>
      <c r="N48" s="24"/>
      <c r="O48" s="24"/>
      <c r="P48" s="24"/>
      <c r="Q48" s="24"/>
      <c r="R48" s="24"/>
      <c r="S48" s="24"/>
    </row>
    <row r="49" spans="1:19" ht="12.75" customHeight="1">
      <c r="A49" s="24"/>
      <c r="B49" s="23" t="s">
        <v>330</v>
      </c>
      <c r="C49" s="23"/>
      <c r="D49" s="24"/>
      <c r="E49" s="92">
        <f>'1. Required Start-Up Funds'!I47</f>
        <v>0</v>
      </c>
      <c r="F49" s="24"/>
      <c r="G49" s="24"/>
      <c r="H49" s="24"/>
      <c r="I49" s="24"/>
      <c r="J49" s="24"/>
      <c r="K49" s="24"/>
      <c r="L49" s="24"/>
      <c r="M49" s="24"/>
      <c r="N49" s="24"/>
      <c r="O49" s="24"/>
      <c r="P49" s="24"/>
      <c r="Q49" s="24"/>
      <c r="R49" s="24"/>
      <c r="S49" s="24"/>
    </row>
    <row r="50" spans="1:19" ht="12.75" customHeight="1">
      <c r="A50" s="24"/>
      <c r="B50" s="23" t="s">
        <v>332</v>
      </c>
      <c r="C50" s="23"/>
      <c r="D50" s="24"/>
      <c r="E50" s="36">
        <f>'1. Required Start-Up Funds'!J47</f>
        <v>7.0000000000000007E-2</v>
      </c>
      <c r="F50" s="24"/>
      <c r="G50" s="24"/>
      <c r="H50" s="24"/>
      <c r="I50" s="24"/>
      <c r="J50" s="24"/>
      <c r="K50" s="24"/>
      <c r="L50" s="24"/>
      <c r="M50" s="24"/>
      <c r="N50" s="24"/>
      <c r="O50" s="24"/>
      <c r="P50" s="24"/>
      <c r="Q50" s="24"/>
      <c r="R50" s="24"/>
      <c r="S50" s="24"/>
    </row>
    <row r="51" spans="1:19" ht="12.75" customHeight="1">
      <c r="A51" s="24"/>
      <c r="B51" s="23" t="s">
        <v>162</v>
      </c>
      <c r="C51" s="23"/>
      <c r="D51" s="24"/>
      <c r="E51" s="32">
        <f>'1. Required Start-Up Funds'!K47</f>
        <v>60</v>
      </c>
      <c r="F51" s="24"/>
      <c r="G51" s="24"/>
      <c r="H51" s="24"/>
      <c r="I51" s="24"/>
      <c r="J51" s="24"/>
      <c r="K51" s="24"/>
      <c r="L51" s="24"/>
      <c r="M51" s="24"/>
      <c r="N51" s="24"/>
      <c r="O51" s="24"/>
      <c r="P51" s="24"/>
      <c r="Q51" s="24"/>
      <c r="R51" s="24"/>
      <c r="S51" s="24"/>
    </row>
    <row r="52" spans="1:19" ht="12.75" customHeight="1">
      <c r="A52" s="24"/>
      <c r="B52" s="23" t="s">
        <v>165</v>
      </c>
      <c r="C52" s="23"/>
      <c r="D52" s="24"/>
      <c r="E52" s="34">
        <f>ABS(PMT(E50/12,E51,E49))</f>
        <v>0</v>
      </c>
      <c r="F52" s="24"/>
      <c r="G52" s="24"/>
      <c r="H52" s="24"/>
      <c r="I52" s="24"/>
      <c r="J52" s="24"/>
      <c r="K52" s="24"/>
      <c r="L52" s="24"/>
      <c r="M52" s="24"/>
      <c r="N52" s="24"/>
      <c r="O52" s="24"/>
      <c r="P52" s="24"/>
      <c r="Q52" s="24"/>
      <c r="R52" s="24"/>
      <c r="S52" s="24"/>
    </row>
    <row r="53" spans="1:19" ht="12.75" customHeight="1">
      <c r="A53" s="24"/>
      <c r="B53" s="23"/>
      <c r="C53" s="23"/>
      <c r="D53" s="24"/>
      <c r="E53" s="24"/>
      <c r="F53" s="24"/>
      <c r="G53" s="24"/>
      <c r="H53" s="24"/>
      <c r="I53" s="24"/>
      <c r="J53" s="24"/>
      <c r="K53" s="24"/>
      <c r="L53" s="24"/>
      <c r="M53" s="24"/>
      <c r="N53" s="24"/>
      <c r="O53" s="24"/>
      <c r="P53" s="24"/>
      <c r="Q53" s="24"/>
      <c r="R53" s="24"/>
      <c r="S53" s="24"/>
    </row>
    <row r="54" spans="1:19">
      <c r="A54" s="24"/>
      <c r="B54" s="23" t="s">
        <v>283</v>
      </c>
      <c r="C54" s="23"/>
      <c r="D54" s="24"/>
      <c r="E54" s="24"/>
      <c r="F54" s="24"/>
      <c r="G54" s="24"/>
      <c r="H54" s="24"/>
      <c r="I54" s="24"/>
      <c r="J54" s="24"/>
      <c r="K54" s="24"/>
      <c r="L54" s="24"/>
      <c r="M54" s="24"/>
      <c r="N54" s="24"/>
      <c r="O54" s="24"/>
      <c r="P54" s="24"/>
      <c r="Q54" s="24"/>
      <c r="R54" s="24"/>
      <c r="S54" s="24"/>
    </row>
    <row r="55" spans="1:19">
      <c r="A55" s="24"/>
      <c r="B55" s="23"/>
      <c r="C55" s="23" t="s">
        <v>326</v>
      </c>
      <c r="D55" s="24"/>
      <c r="E55" s="24"/>
      <c r="F55" s="24"/>
      <c r="G55" s="31">
        <f>ABS(IPMT($E$50/12,1,$E$51,$E$49))</f>
        <v>0</v>
      </c>
      <c r="H55" s="31">
        <f>ABS(IPMT($E$50/12,2,$E$51,$E$49))</f>
        <v>0</v>
      </c>
      <c r="I55" s="31">
        <f>ABS(IPMT($E$50/12,3,$E$51,$E$49))</f>
        <v>0</v>
      </c>
      <c r="J55" s="31">
        <f>ABS(IPMT($E$50/12,4,$E$51,$E$49))</f>
        <v>0</v>
      </c>
      <c r="K55" s="31">
        <f>ABS(IPMT($E$50/12,5,$E$51,$E$49))</f>
        <v>0</v>
      </c>
      <c r="L55" s="31">
        <f>ABS(IPMT($E$50/12,6,$E$51,$E$49))</f>
        <v>0</v>
      </c>
      <c r="M55" s="31">
        <f>ABS(IPMT($E$50/12,7,$E$51,$E$49))</f>
        <v>0</v>
      </c>
      <c r="N55" s="31">
        <f>ABS(IPMT($E$50/12,8,$E$51,$E$49))</f>
        <v>0</v>
      </c>
      <c r="O55" s="31">
        <f>ABS(IPMT($E$50/12,9,$E$51,$E$49))</f>
        <v>0</v>
      </c>
      <c r="P55" s="31">
        <f>ABS(IPMT($E$50/12,10,$E$51,$E$49))</f>
        <v>0</v>
      </c>
      <c r="Q55" s="31">
        <f>ABS(IPMT($E$50/12,11,$E$51,$E$49))</f>
        <v>0</v>
      </c>
      <c r="R55" s="31">
        <f>ABS(IPMT($E$50/12,12,$E$51,$E$49))</f>
        <v>0</v>
      </c>
      <c r="S55" s="31">
        <f>SUM(G55:R55)</f>
        <v>0</v>
      </c>
    </row>
    <row r="56" spans="1:19">
      <c r="A56" s="24"/>
      <c r="B56" s="23"/>
      <c r="C56" s="23" t="s">
        <v>164</v>
      </c>
      <c r="D56" s="24"/>
      <c r="E56" s="24"/>
      <c r="F56" s="24"/>
      <c r="G56" s="31">
        <f>ABS(PPMT($E$50/12,1,$E$51,$E$49))</f>
        <v>0</v>
      </c>
      <c r="H56" s="31">
        <f>ABS(PPMT($E$50/12,2,$E$51,$E$49))</f>
        <v>0</v>
      </c>
      <c r="I56" s="31">
        <f>ABS(PPMT($E$50/12,3,$E$51,$E$49))</f>
        <v>0</v>
      </c>
      <c r="J56" s="31">
        <f>ABS(PPMT($E$50/12,4,$E$51,$E$49))</f>
        <v>0</v>
      </c>
      <c r="K56" s="31">
        <f>ABS(PPMT($E$50/12,5,$E$51,$E$49))</f>
        <v>0</v>
      </c>
      <c r="L56" s="31">
        <f>ABS(PPMT($E$50/12,6,$E$51,$E$49))</f>
        <v>0</v>
      </c>
      <c r="M56" s="31">
        <f>ABS(PPMT($E$50/12,7,$E$51,$E$49))</f>
        <v>0</v>
      </c>
      <c r="N56" s="31">
        <f>ABS(PPMT($E$50/12,8,$E$51,$E$49))</f>
        <v>0</v>
      </c>
      <c r="O56" s="31">
        <f>ABS(PPMT($E$50/12,9,$E$51,$E$49))</f>
        <v>0</v>
      </c>
      <c r="P56" s="31">
        <f>ABS(PPMT($E$50/12,10,$E$51,$E$49))</f>
        <v>0</v>
      </c>
      <c r="Q56" s="31">
        <f>ABS(PPMT($E$50/12,11,$E$51,$E$49))</f>
        <v>0</v>
      </c>
      <c r="R56" s="31">
        <f>ABS(PPMT($E$50/12,12,$E$51,$E$49))</f>
        <v>0</v>
      </c>
      <c r="S56" s="31">
        <f>SUM(G56:R56)</f>
        <v>0</v>
      </c>
    </row>
    <row r="57" spans="1:19">
      <c r="A57" s="24"/>
      <c r="B57" s="23"/>
      <c r="C57" s="23" t="s">
        <v>166</v>
      </c>
      <c r="D57" s="24"/>
      <c r="E57" s="24"/>
      <c r="F57" s="24"/>
      <c r="G57" s="31">
        <f>E49-G56</f>
        <v>0</v>
      </c>
      <c r="H57" s="70">
        <f t="shared" ref="H57:R57" si="8">G57-H56</f>
        <v>0</v>
      </c>
      <c r="I57" s="70">
        <f t="shared" si="8"/>
        <v>0</v>
      </c>
      <c r="J57" s="70">
        <f t="shared" si="8"/>
        <v>0</v>
      </c>
      <c r="K57" s="70">
        <f t="shared" si="8"/>
        <v>0</v>
      </c>
      <c r="L57" s="70">
        <f t="shared" si="8"/>
        <v>0</v>
      </c>
      <c r="M57" s="70">
        <f t="shared" si="8"/>
        <v>0</v>
      </c>
      <c r="N57" s="70">
        <f t="shared" si="8"/>
        <v>0</v>
      </c>
      <c r="O57" s="70">
        <f t="shared" si="8"/>
        <v>0</v>
      </c>
      <c r="P57" s="70">
        <f t="shared" si="8"/>
        <v>0</v>
      </c>
      <c r="Q57" s="70">
        <f t="shared" si="8"/>
        <v>0</v>
      </c>
      <c r="R57" s="70">
        <f t="shared" si="8"/>
        <v>0</v>
      </c>
      <c r="S57" s="70"/>
    </row>
    <row r="58" spans="1:19">
      <c r="A58" s="24"/>
      <c r="B58" s="23" t="s">
        <v>293</v>
      </c>
      <c r="C58" s="23"/>
      <c r="D58" s="24"/>
      <c r="E58" s="24"/>
      <c r="F58" s="24"/>
      <c r="G58" s="24"/>
      <c r="H58" s="24"/>
      <c r="I58" s="24"/>
      <c r="J58" s="24"/>
      <c r="K58" s="24"/>
      <c r="L58" s="24"/>
      <c r="M58" s="24"/>
      <c r="N58" s="24"/>
      <c r="O58" s="24"/>
      <c r="P58" s="24"/>
      <c r="Q58" s="24"/>
      <c r="R58" s="24"/>
      <c r="S58" s="24"/>
    </row>
    <row r="59" spans="1:19">
      <c r="A59" s="24"/>
      <c r="B59" s="23"/>
      <c r="C59" s="23" t="s">
        <v>326</v>
      </c>
      <c r="D59" s="24"/>
      <c r="E59" s="24"/>
      <c r="F59" s="24"/>
      <c r="G59" s="31">
        <f>IF($E51&gt;12,IF('1. Required Start-Up Funds'!$M$47&lt;=1,ABS(IPMT($E50/12,13,$E51,$E49)),IF('1. Required Start-Up Funds'!$M$47=2,ABS(IPMT($E50/12,1,$E51,$E49)),$E49*$E50/12)),0)</f>
        <v>0</v>
      </c>
      <c r="H59" s="31">
        <f>IF($E51&gt;13,IF('1. Required Start-Up Funds'!$M$47&lt;=1,ABS(IPMT($E50/12,14,$E51,$E49)),IF('1. Required Start-Up Funds'!$M$47=2,ABS(IPMT($E50/12,2,$E51,$E49)),$E49*$E50/12)),0)</f>
        <v>0</v>
      </c>
      <c r="I59" s="31">
        <f>IF($E51&gt;14,IF('1. Required Start-Up Funds'!$M$47&lt;=1,ABS(IPMT($E50/12,15,$E51,$E49)),IF('1. Required Start-Up Funds'!$M$47=2,ABS(IPMT($E50/12,3,$E51,$E49)),$E49*$E50/12)),0)</f>
        <v>0</v>
      </c>
      <c r="J59" s="31">
        <f>IF($E51&gt;15,IF('1. Required Start-Up Funds'!$M$47&lt;=1,ABS(IPMT($E50/12,16,$E51,$E49)),IF('1. Required Start-Up Funds'!$M$47=2,ABS(IPMT($E50/12,4,$E51,$E49)),$E49*$E50/12)),0)</f>
        <v>0</v>
      </c>
      <c r="K59" s="31">
        <f>IF($E51&gt;16,IF('1. Required Start-Up Funds'!$M$47&lt;=1,ABS(IPMT($E50/12,17,$E51,$E49)),IF('1. Required Start-Up Funds'!$M$47=2,ABS(IPMT($E50/12,5,$E51,$E49)),$E49*$E50/12)),0)</f>
        <v>0</v>
      </c>
      <c r="L59" s="31">
        <f>IF($E51&gt;17,IF('1. Required Start-Up Funds'!$M$47&lt;=1,ABS(IPMT($E50/12,18,$E51,$E49)),IF('1. Required Start-Up Funds'!$M$47=2,ABS(IPMT($E50/12,6,$E51,$E49)),$E49*$E50/12)),0)</f>
        <v>0</v>
      </c>
      <c r="M59" s="31">
        <f>IF($E51&gt;18,IF('1. Required Start-Up Funds'!$M$47&lt;=1,ABS(IPMT($E50/12,19,$E51,$E49)),IF('1. Required Start-Up Funds'!$M$47=2,ABS(IPMT($E50/12,7,$E51,$E49)),$E49*$E50/12)),0)</f>
        <v>0</v>
      </c>
      <c r="N59" s="31">
        <f>IF($E51&gt;19,IF('1. Required Start-Up Funds'!$M$47&lt;=1,ABS(IPMT($E50/12,20,$E51,$E49)),IF('1. Required Start-Up Funds'!$M$47=2,ABS(IPMT($E50/12,8,$E51,$E49)),$E49*$E50/12)),0)</f>
        <v>0</v>
      </c>
      <c r="O59" s="31">
        <f>IF($E51&gt;20,IF('1. Required Start-Up Funds'!$M$47&lt;=1,ABS(IPMT($E50/12,21,$E51,$E49)),IF('1. Required Start-Up Funds'!$M$47=2,ABS(IPMT($E50/12,9,$E51,$E49)),$E49*$E50/12)),0)</f>
        <v>0</v>
      </c>
      <c r="P59" s="31">
        <f>IF($E51&gt;21,IF('1. Required Start-Up Funds'!$M$47&lt;=1,ABS(IPMT($E50/12,22,$E51,$E49)),IF('1. Required Start-Up Funds'!$M$47=2,ABS(IPMT($E50/12,10,$E51,$E49)),$E49*$E50/12)),0)</f>
        <v>0</v>
      </c>
      <c r="Q59" s="31">
        <f>IF($E51&gt;22,IF('1. Required Start-Up Funds'!$M$47&lt;=1,ABS(IPMT($E50/12,23,$E51,$E49)),IF('1. Required Start-Up Funds'!$M$47=2,ABS(IPMT($E50/12,11,$E51,$E49)),$E49*$E50/12)),0)</f>
        <v>0</v>
      </c>
      <c r="R59" s="31">
        <f>IF($E51&gt;23,IF('1. Required Start-Up Funds'!$M$47&lt;=1,ABS(IPMT($E50/12,24,$E51,$E49)),IF('1. Required Start-Up Funds'!$M$47=2,ABS(IPMT($E50/12,12,$E51,$E49)),$E49*$E50/12)),0)</f>
        <v>0</v>
      </c>
      <c r="S59" s="31">
        <f>SUM(G59:R59)</f>
        <v>0</v>
      </c>
    </row>
    <row r="60" spans="1:19">
      <c r="A60" s="24"/>
      <c r="B60" s="23"/>
      <c r="C60" s="23" t="s">
        <v>164</v>
      </c>
      <c r="D60" s="24"/>
      <c r="E60" s="24"/>
      <c r="F60" s="24"/>
      <c r="G60" s="31">
        <f>IF($E51&gt;12,IF('1. Required Start-Up Funds'!$M$47&lt;=1,ABS(PPMT($E50/12,13,$E51,$E49)),IF('1. Required Start-Up Funds'!$M$47=2,ABS(PPMT($E50/12,1,$E51,$E49)),0)),0)</f>
        <v>0</v>
      </c>
      <c r="H60" s="31">
        <f>IF($E51&gt;13,IF('1. Required Start-Up Funds'!$M$47&lt;=1,ABS(PPMT($E50/12,14,$E51,$E49)),IF('1. Required Start-Up Funds'!$M4=2,ABS(PPMT($E50/12,2,$E51,$E49)),0)),0)</f>
        <v>0</v>
      </c>
      <c r="I60" s="31">
        <f>IF($E51&gt;14,IF('1. Required Start-Up Funds'!$M$47&lt;=1,ABS(PPMT($E50/12,15,$E51,$E49)),IF('1. Required Start-Up Funds'!$M$47=2,ABS(PPMT($E50/12,3,$E51,$E49)),0)),0)</f>
        <v>0</v>
      </c>
      <c r="J60" s="31">
        <f>IF($E51&gt;15,IF('1. Required Start-Up Funds'!$M$47&lt;=1,ABS(PPMT($E50/12,16,$E51,$E49)),IF('1. Required Start-Up Funds'!$M$47=2,ABS(PPMT($E50/12,4,$E51,$E49)),0)),0)</f>
        <v>0</v>
      </c>
      <c r="K60" s="31">
        <f>IF($E51&gt;16,IF('1. Required Start-Up Funds'!$M$47&lt;=1,ABS(PPMT($E50/12,17,$E51,$E49)),IF('1. Required Start-Up Funds'!$M$47=2,ABS(PPMT($E50/12,5,$E51,$E49)),0)),0)</f>
        <v>0</v>
      </c>
      <c r="L60" s="31">
        <f>IF($E51&gt;17,IF('1. Required Start-Up Funds'!$M$47&lt;=1,ABS(PPMT($E50/12,18,$E51,$E49)),IF('1. Required Start-Up Funds'!$M$47=2,ABS(PPMT($E50/12,6,$E51,$E49)),0)),0)</f>
        <v>0</v>
      </c>
      <c r="M60" s="31">
        <f>IF($E51&gt;18,IF('1. Required Start-Up Funds'!$M$47&lt;=1,ABS(PPMT($E50/12,19,$E51,$E49)),IF('1. Required Start-Up Funds'!$M$47=2,ABS(PPMT($E50/12,7,$E51,$E49)),0)),0)</f>
        <v>0</v>
      </c>
      <c r="N60" s="31">
        <f>IF($E51&gt;19,IF('1. Required Start-Up Funds'!$M$47&lt;=1,ABS(PPMT($E50/12,20,$E51,$E49)),IF('1. Required Start-Up Funds'!$M$47=2,ABS(PPMT($E50/12,8,$E51,$E49)),0)),0)</f>
        <v>0</v>
      </c>
      <c r="O60" s="31">
        <f>IF($E51&gt;20,IF('1. Required Start-Up Funds'!$M$47&lt;=1,ABS(PPMT($E50/12,21,$E51,$E49)),IF('1. Required Start-Up Funds'!$M$47=2,ABS(PPMT($E50/12,9,$E51,$E49)),0)),0)</f>
        <v>0</v>
      </c>
      <c r="P60" s="31">
        <f>IF($E51&gt;21,IF('1. Required Start-Up Funds'!$M$47&lt;=1,ABS(PPMT($E50/12,22,$E51,$E49)),IF('1. Required Start-Up Funds'!$M$47=2,ABS(PPMT($E50/12,10,$E51,$E49)),0)),0)</f>
        <v>0</v>
      </c>
      <c r="Q60" s="31">
        <f>IF($E51&gt;22,IF('1. Required Start-Up Funds'!$M$47&lt;=1,ABS(PPMT($E50/12,23,$E51,$E49)),IF('1. Required Start-Up Funds'!$M$47=2,ABS(PPMT($E50/12,11,$E51,$E49)),0)),0)</f>
        <v>0</v>
      </c>
      <c r="R60" s="31">
        <f>IF($E51&gt;23,IF('1. Required Start-Up Funds'!$M$47&lt;=1,ABS(PPMT($E50/12,24,$E51,$E49)),IF('1. Required Start-Up Funds'!$M$47=2,ABS(PPMT($E50/12,12,$E51,$E49)),0)),0)</f>
        <v>0</v>
      </c>
      <c r="S60" s="31">
        <f>SUM(G60:R60)</f>
        <v>0</v>
      </c>
    </row>
    <row r="61" spans="1:19">
      <c r="A61" s="24"/>
      <c r="B61" s="23"/>
      <c r="C61" s="23" t="s">
        <v>166</v>
      </c>
      <c r="D61" s="24"/>
      <c r="E61" s="24"/>
      <c r="F61" s="24"/>
      <c r="G61" s="70">
        <f>R57-G60</f>
        <v>0</v>
      </c>
      <c r="H61" s="93">
        <f t="shared" ref="H61:R61" si="9">G61-H60</f>
        <v>0</v>
      </c>
      <c r="I61" s="93">
        <f t="shared" si="9"/>
        <v>0</v>
      </c>
      <c r="J61" s="93">
        <f t="shared" si="9"/>
        <v>0</v>
      </c>
      <c r="K61" s="93">
        <f t="shared" si="9"/>
        <v>0</v>
      </c>
      <c r="L61" s="93">
        <f t="shared" si="9"/>
        <v>0</v>
      </c>
      <c r="M61" s="93">
        <f t="shared" si="9"/>
        <v>0</v>
      </c>
      <c r="N61" s="93">
        <f t="shared" si="9"/>
        <v>0</v>
      </c>
      <c r="O61" s="93">
        <f t="shared" si="9"/>
        <v>0</v>
      </c>
      <c r="P61" s="93">
        <f t="shared" si="9"/>
        <v>0</v>
      </c>
      <c r="Q61" s="93">
        <f t="shared" si="9"/>
        <v>0</v>
      </c>
      <c r="R61" s="93">
        <f t="shared" si="9"/>
        <v>0</v>
      </c>
      <c r="S61" s="24"/>
    </row>
    <row r="62" spans="1:19">
      <c r="A62" s="24"/>
      <c r="B62" s="23" t="s">
        <v>284</v>
      </c>
      <c r="C62" s="23"/>
      <c r="D62" s="24"/>
      <c r="E62" s="24"/>
      <c r="F62" s="24"/>
      <c r="G62" s="24"/>
      <c r="H62" s="24"/>
      <c r="I62" s="24"/>
      <c r="J62" s="24"/>
      <c r="K62" s="24"/>
      <c r="L62" s="24"/>
      <c r="M62" s="24"/>
      <c r="N62" s="24"/>
      <c r="O62" s="24"/>
      <c r="P62" s="24"/>
      <c r="Q62" s="24"/>
      <c r="R62" s="24"/>
      <c r="S62" s="24"/>
    </row>
    <row r="63" spans="1:19">
      <c r="A63" s="24"/>
      <c r="B63" s="23"/>
      <c r="C63" s="23" t="s">
        <v>326</v>
      </c>
      <c r="D63" s="24"/>
      <c r="E63" s="24"/>
      <c r="F63" s="24"/>
      <c r="G63" s="31">
        <f>IF($E51&gt;24,IF('1. Required Start-Up Funds'!$M$47&lt;=1,ABS(IPMT($E50/12,25,$E51,$E49)),IF('1. Required Start-Up Funds'!$M$47=2,ABS(IPMT($E50/12,13,$E51,$E49)),ABS(IPMT($E50/12,1,$E51,$E49)))),0)</f>
        <v>0</v>
      </c>
      <c r="H63" s="31">
        <f>IF($E51&gt;25,IF('1. Required Start-Up Funds'!$M$47&lt;=1,ABS(IPMT($E50/12,26,$E51,$E49)),IF('1. Required Start-Up Funds'!$M$47=2,ABS(IPMT($E50/12,14,$E51,$E49)),ABS(IPMT($E50/12,2,$E51,$E49)))),0)</f>
        <v>0</v>
      </c>
      <c r="I63" s="31">
        <f>IF($E51&gt;26,IF('1. Required Start-Up Funds'!$M$47&lt;=1,ABS(IPMT($E50/12,27,$E51,$E49)),IF('1. Required Start-Up Funds'!$M$47=2,ABS(IPMT($E50/12,15,$E51,$E49)),ABS(IPMT($E50/12,3,$E51,$E49)))),0)</f>
        <v>0</v>
      </c>
      <c r="J63" s="31">
        <f>IF($E51&gt;27,IF('1. Required Start-Up Funds'!$M$47&lt;=1,ABS(IPMT($E50/12,28,$E51,$E49)),IF('1. Required Start-Up Funds'!$M$47=2,ABS(IPMT($E50/12,16,$E51,$E49)),ABS(IPMT($E50/12,4,$E51,$E49)))),0)</f>
        <v>0</v>
      </c>
      <c r="K63" s="31">
        <f>IF($E51&gt;28,IF('1. Required Start-Up Funds'!$M$47&lt;=1,ABS(IPMT($E50/12,29,$E51,$E49)),IF('1. Required Start-Up Funds'!$M$47=2,ABS(IPMT($E50/12,17,$E51,$E49)),ABS(IPMT(E$90/12,5,$E51,$E49)))),0)</f>
        <v>0</v>
      </c>
      <c r="L63" s="31">
        <f>IF($E51&gt;29,IF('1. Required Start-Up Funds'!$M$47&lt;=1,ABS(IPMT($E50/12,30,$E51,$E49)),IF('1. Required Start-Up Funds'!$M$47=2,ABS(IPMT($E50/12,18,$E51,$E49)),ABS(IPMT($E50/12,6,$E51,$E49)))),0)</f>
        <v>0</v>
      </c>
      <c r="M63" s="31">
        <f>IF($E51&gt;30,IF('1. Required Start-Up Funds'!$M$47&lt;=1,ABS(IPMT($E50/12,31,$E51,$E49)),IF('1. Required Start-Up Funds'!$M$47=2,ABS(IPMT($E50/12,19,$E51,$E49)),ABS(IPMT($E50/12,7,$E51,$E49)))),0)</f>
        <v>0</v>
      </c>
      <c r="N63" s="31">
        <f>IF($E51&gt;31,IF('1. Required Start-Up Funds'!$M$47&lt;=1,ABS(IPMT($E50/12,32,$E51,$E49)),IF('1. Required Start-Up Funds'!$M$47=2,ABS(IPMT($E50/12,20,$E51,$E49)),ABS(IPMT($E50/12,8,$E51,$E49)))),0)</f>
        <v>0</v>
      </c>
      <c r="O63" s="31">
        <f>IF($E51&gt;32,IF('1. Required Start-Up Funds'!$M$47&lt;=1,ABS(IPMT($E50/12,33,$E51,$E49)),IF('1. Required Start-Up Funds'!$M$47=2,ABS(IPMT($E50/12,21,$E51,$E49)),ABS(IPMT($E50/12,9,$E51,$E49)))),0)</f>
        <v>0</v>
      </c>
      <c r="P63" s="31">
        <f>IF($E51&gt;33,IF('1. Required Start-Up Funds'!$M$47&lt;=1,ABS(IPMT($E50/12,34,$E51,$E49)),IF('1. Required Start-Up Funds'!$M$47=2,ABS(IPMT($E50/12,22,$E51,$E49)),ABS(IPMT($E50/12,10,$E51,$E49)))),0)</f>
        <v>0</v>
      </c>
      <c r="Q63" s="31">
        <f>IF($E51&gt;34,IF('1. Required Start-Up Funds'!$M$47&lt;=1,ABS(IPMT($E50/12,35,$E51,$E49)),IF('1. Required Start-Up Funds'!$M4=2,ABS(IPMT($E50/12,23,$E51,$E49)),ABS(IPMT($E50/12,11,$E51,$E49)))),0)</f>
        <v>0</v>
      </c>
      <c r="R63" s="31">
        <f>IF($E51&gt;35,IF('1. Required Start-Up Funds'!$M$47&lt;=1,ABS(IPMT($E50/12,36,$E51,$E49)),IF('1. Required Start-Up Funds'!$M$47=2,ABS(IPMT($E50/12,24,$E51,$E49)),ABS(IPMT($E50/12,12,$E51,$E49)))),0)</f>
        <v>0</v>
      </c>
      <c r="S63" s="31">
        <f>SUM(G63:R63)</f>
        <v>0</v>
      </c>
    </row>
    <row r="64" spans="1:19">
      <c r="A64" s="24"/>
      <c r="B64" s="23"/>
      <c r="C64" s="23" t="s">
        <v>164</v>
      </c>
      <c r="D64" s="24"/>
      <c r="E64" s="24"/>
      <c r="F64" s="24"/>
      <c r="G64" s="31">
        <f>IF($E51&gt;24,IF('1. Required Start-Up Funds'!$M$47&lt;=1,ABS(PPMT($E50/12,25,$E51,$E49)),IF('1. Required Start-Up Funds'!$M$47=2,ABS(PPMT($E50/12,13,$E51,$E49)),ABS(PPMT($E50/12,1,$E51,$E49)))),0)</f>
        <v>0</v>
      </c>
      <c r="H64" s="31">
        <f>IF($E51&gt;25,IF('1. Required Start-Up Funds'!$M$47&lt;=1,ABS(PPMT($E50/12,26,$E51,$E49)),IF('1. Required Start-Up Funds'!$M$47=2,ABS(PPMT($E50/12,14,$E51,$E49)),ABS(PPMT($E50/12,2,$E51,$E49)))),0)</f>
        <v>0</v>
      </c>
      <c r="I64" s="31">
        <f>IF($E51&gt;26,IF('1. Required Start-Up Funds'!$M$47&lt;=1,ABS(PPMT($E50/12,27,$E51,$E49)),IF('1. Required Start-Up Funds'!$M$47=2,ABS(PPMT($E50/12,15,$E51,$E49)),ABS(PPMT($E50/12,3,$E51,$E49)))),0)</f>
        <v>0</v>
      </c>
      <c r="J64" s="31">
        <f>IF($E51&gt;27,IF('1. Required Start-Up Funds'!$M$47&lt;=1,ABS(PPMT($E50/12,28,$E51,$E49)),IF('1. Required Start-Up Funds'!$M$47=2,ABS(PPMT($E50/12,16,$E51,$E49)),ABS(PPMT($E50/12,4,$E51,$E49)))),0)</f>
        <v>0</v>
      </c>
      <c r="K64" s="31">
        <f>IF($E51&gt;28,IF('1. Required Start-Up Funds'!$M$47&lt;=1,ABS(PPMT($E50/12,29,$E51,$E49)),IF('1. Required Start-Up Funds'!$M$47=2,ABS(PPMT($E50/12,17,$E51,$E49)),ABS(PPMT($E50/12,5,$E51,$E49)))),0)</f>
        <v>0</v>
      </c>
      <c r="L64" s="31">
        <f>IF($E51&gt;29,IF('1. Required Start-Up Funds'!$M$47&lt;=1,ABS(PPMT($E50/12,30,$E51,$E49)),IF('1. Required Start-Up Funds'!$M$47=2,ABS(PPMT($E50/12,18,$E51,$E49)),ABS(PPMT($E50/12,6,$E51,$E49)))),0)</f>
        <v>0</v>
      </c>
      <c r="M64" s="31">
        <f>IF($E51&gt;30,IF('1. Required Start-Up Funds'!$M$47&lt;=1,ABS(PPMT($E50/12,31,$E51,$E49)),IF('1. Required Start-Up Funds'!$M$47=2,ABS(PPMT($E50/12,19,$E51,$E49)),ABS(PPMT($E50/12,7,$E51,$E49)))),0)</f>
        <v>0</v>
      </c>
      <c r="N64" s="31">
        <f>IF($E51&gt;31,IF('1. Required Start-Up Funds'!$M$47&lt;=1,ABS(PPMT($E50/12,32,$E51,$E49)),IF('1. Required Start-Up Funds'!$M$47=2,ABS(PPMT($E50/12,20,$E51,$E49)),ABS(PPMT($E50/12,8,$E51,$E49)))),0)</f>
        <v>0</v>
      </c>
      <c r="O64" s="31">
        <f>IF($E51&gt;32,IF('1. Required Start-Up Funds'!$M$47&lt;=1,ABS(PPMT($E50/12,33,$E51,$E49)),IF('1. Required Start-Up Funds'!$M$47=2,ABS(PPMT($E50/12,21,$E51,$E49)),ABS(PPMT($E50/12,9,$E51,$E49)))),0)</f>
        <v>0</v>
      </c>
      <c r="P64" s="31">
        <f>IF($E51&gt;33,IF('1. Required Start-Up Funds'!$M$47&lt;=1,ABS(PPMT($E50/12,34,$E51,$E49)),IF('1. Required Start-Up Funds'!$M$47=2,ABS(PPMT($E50/12,22,$E51,$E49)),ABS(PPMT($E50/12,10,$E51,$E49)))),0)</f>
        <v>0</v>
      </c>
      <c r="Q64" s="31">
        <f>IF($E51&gt;34,IF('1. Required Start-Up Funds'!$M$47&lt;=1,ABS(PPMT($E50/12,35,$E51,$E49)),IF('1. Required Start-Up Funds'!$M$47=2,ABS(PPMT($E50/12,23,$E51,$E49)),ABS(PPMT($E50/12,11,$E51,$E49)))),0)</f>
        <v>0</v>
      </c>
      <c r="R64" s="31">
        <f>IF($E51&gt;35,IF('1. Required Start-Up Funds'!$M$47&lt;=1,ABS(PPMT($E50/12,36,$E51,$E49)),IF('1. Required Start-Up Funds'!$M$47=2,ABS(PPMT($E50/12,24,$E51,$E49)),ABS(PPMT($E50/12,12,$E51,$E49)))),0)</f>
        <v>0</v>
      </c>
      <c r="S64" s="31">
        <f>SUM(G64:R64)</f>
        <v>0</v>
      </c>
    </row>
    <row r="65" spans="1:19">
      <c r="A65" s="24"/>
      <c r="B65" s="23"/>
      <c r="C65" s="23" t="s">
        <v>166</v>
      </c>
      <c r="D65" s="24"/>
      <c r="E65" s="24"/>
      <c r="F65" s="24"/>
      <c r="G65" s="70">
        <f>R61-G64</f>
        <v>0</v>
      </c>
      <c r="H65" s="70">
        <f t="shared" ref="H65:R65" si="10">G65-H64</f>
        <v>0</v>
      </c>
      <c r="I65" s="70">
        <f t="shared" si="10"/>
        <v>0</v>
      </c>
      <c r="J65" s="70">
        <f t="shared" si="10"/>
        <v>0</v>
      </c>
      <c r="K65" s="70">
        <f t="shared" si="10"/>
        <v>0</v>
      </c>
      <c r="L65" s="70">
        <f t="shared" si="10"/>
        <v>0</v>
      </c>
      <c r="M65" s="70">
        <f t="shared" si="10"/>
        <v>0</v>
      </c>
      <c r="N65" s="70">
        <f t="shared" si="10"/>
        <v>0</v>
      </c>
      <c r="O65" s="70">
        <f t="shared" si="10"/>
        <v>0</v>
      </c>
      <c r="P65" s="70">
        <f t="shared" si="10"/>
        <v>0</v>
      </c>
      <c r="Q65" s="70">
        <f t="shared" si="10"/>
        <v>0</v>
      </c>
      <c r="R65" s="70">
        <f t="shared" si="10"/>
        <v>0</v>
      </c>
      <c r="S65" s="24"/>
    </row>
    <row r="68" spans="1:19">
      <c r="A68" s="23" t="s">
        <v>101</v>
      </c>
      <c r="B68" s="23"/>
      <c r="C68" s="23"/>
      <c r="D68" s="24"/>
      <c r="E68" s="24"/>
      <c r="F68" s="24"/>
      <c r="G68" s="24"/>
      <c r="H68" s="24"/>
      <c r="I68" s="24"/>
      <c r="J68" s="24"/>
      <c r="K68" s="24"/>
      <c r="L68" s="24"/>
      <c r="M68" s="24"/>
      <c r="N68" s="24"/>
      <c r="O68" s="24"/>
      <c r="P68" s="24"/>
      <c r="Q68" s="24"/>
      <c r="R68" s="24"/>
      <c r="S68" s="24"/>
    </row>
    <row r="69" spans="1:19">
      <c r="A69" s="24"/>
      <c r="B69" s="23" t="s">
        <v>330</v>
      </c>
      <c r="C69" s="23"/>
      <c r="D69" s="24"/>
      <c r="E69" s="92">
        <f>'1. Required Start-Up Funds'!I48</f>
        <v>0</v>
      </c>
      <c r="F69" s="24"/>
      <c r="G69" s="24"/>
      <c r="H69" s="24"/>
      <c r="I69" s="24"/>
      <c r="J69" s="24"/>
      <c r="K69" s="24"/>
      <c r="L69" s="24"/>
      <c r="M69" s="24"/>
      <c r="N69" s="24"/>
      <c r="O69" s="24"/>
      <c r="P69" s="24"/>
      <c r="Q69" s="24"/>
      <c r="R69" s="24"/>
      <c r="S69" s="24"/>
    </row>
    <row r="70" spans="1:19">
      <c r="A70" s="24"/>
      <c r="B70" s="23" t="s">
        <v>332</v>
      </c>
      <c r="C70" s="23"/>
      <c r="D70" s="24"/>
      <c r="E70" s="36">
        <f>'1. Required Start-Up Funds'!J48</f>
        <v>0.06</v>
      </c>
      <c r="F70" s="24"/>
      <c r="G70" s="24"/>
      <c r="H70" s="24"/>
      <c r="I70" s="24"/>
      <c r="J70" s="24"/>
      <c r="K70" s="24"/>
      <c r="L70" s="24"/>
      <c r="M70" s="24"/>
      <c r="N70" s="24"/>
      <c r="O70" s="24"/>
      <c r="P70" s="24"/>
      <c r="Q70" s="24"/>
      <c r="R70" s="24"/>
      <c r="S70" s="24"/>
    </row>
    <row r="71" spans="1:19">
      <c r="A71" s="24"/>
      <c r="B71" s="23" t="s">
        <v>162</v>
      </c>
      <c r="C71" s="23"/>
      <c r="D71" s="24"/>
      <c r="E71" s="32">
        <f>'1. Required Start-Up Funds'!K48</f>
        <v>48</v>
      </c>
      <c r="F71" s="24"/>
      <c r="G71" s="24"/>
      <c r="H71" s="24"/>
      <c r="I71" s="24"/>
      <c r="J71" s="24"/>
      <c r="K71" s="24"/>
      <c r="L71" s="24"/>
      <c r="M71" s="24"/>
      <c r="N71" s="24"/>
      <c r="O71" s="24"/>
      <c r="P71" s="24"/>
      <c r="Q71" s="24"/>
      <c r="R71" s="24"/>
      <c r="S71" s="24"/>
    </row>
    <row r="72" spans="1:19">
      <c r="A72" s="24"/>
      <c r="B72" s="23" t="s">
        <v>165</v>
      </c>
      <c r="C72" s="23"/>
      <c r="D72" s="24"/>
      <c r="E72" s="34">
        <f>ABS(PMT(E70/12,E71,E69))</f>
        <v>0</v>
      </c>
      <c r="F72" s="24"/>
      <c r="G72" s="24"/>
      <c r="H72" s="24"/>
      <c r="I72" s="24"/>
      <c r="J72" s="24"/>
      <c r="K72" s="24"/>
      <c r="L72" s="24"/>
      <c r="M72" s="24"/>
      <c r="N72" s="24"/>
      <c r="O72" s="24"/>
      <c r="P72" s="24"/>
      <c r="Q72" s="24"/>
      <c r="R72" s="24"/>
      <c r="S72" s="24"/>
    </row>
    <row r="73" spans="1:19">
      <c r="A73" s="24"/>
      <c r="B73" s="23"/>
      <c r="C73" s="23"/>
      <c r="D73" s="24"/>
      <c r="E73" s="24"/>
      <c r="F73" s="24"/>
      <c r="G73" s="24"/>
      <c r="H73" s="24"/>
      <c r="I73" s="24"/>
      <c r="J73" s="24"/>
      <c r="K73" s="24"/>
      <c r="L73" s="24"/>
      <c r="M73" s="24"/>
      <c r="N73" s="24"/>
      <c r="O73" s="24"/>
      <c r="P73" s="24"/>
      <c r="Q73" s="24"/>
      <c r="R73" s="24"/>
      <c r="S73" s="24"/>
    </row>
    <row r="74" spans="1:19">
      <c r="A74" s="24"/>
      <c r="B74" s="23" t="s">
        <v>283</v>
      </c>
      <c r="C74" s="23"/>
      <c r="D74" s="24"/>
      <c r="E74" s="24"/>
      <c r="F74" s="24"/>
      <c r="G74" s="24"/>
      <c r="H74" s="24"/>
      <c r="I74" s="24"/>
      <c r="J74" s="24"/>
      <c r="K74" s="24"/>
      <c r="L74" s="24"/>
      <c r="M74" s="24"/>
      <c r="N74" s="24"/>
      <c r="O74" s="24"/>
      <c r="P74" s="24"/>
      <c r="Q74" s="24"/>
      <c r="R74" s="24"/>
      <c r="S74" s="24"/>
    </row>
    <row r="75" spans="1:19">
      <c r="A75" s="24"/>
      <c r="B75" s="23"/>
      <c r="C75" s="23" t="s">
        <v>326</v>
      </c>
      <c r="D75" s="24"/>
      <c r="E75" s="24"/>
      <c r="F75" s="24"/>
      <c r="G75" s="31">
        <f>ABS(IPMT($E$70/12,1,$E$71,$E$69))</f>
        <v>0</v>
      </c>
      <c r="H75" s="31">
        <f>ABS(IPMT($E$70/12,2,$E$71,$E$69))</f>
        <v>0</v>
      </c>
      <c r="I75" s="31">
        <f>ABS(IPMT($E$70/12,3,$E$71,$E$69))</f>
        <v>0</v>
      </c>
      <c r="J75" s="31">
        <f>ABS(IPMT($E$70/12,4,$E$71,$E$69))</f>
        <v>0</v>
      </c>
      <c r="K75" s="31">
        <f>ABS(IPMT($E$70/12,5,$E$71,$E$69))</f>
        <v>0</v>
      </c>
      <c r="L75" s="31">
        <f>ABS(IPMT($E$70/12,6,$E$71,$E$69))</f>
        <v>0</v>
      </c>
      <c r="M75" s="31">
        <f>ABS(IPMT($E$70/12,7,$E$71,$E$69))</f>
        <v>0</v>
      </c>
      <c r="N75" s="31">
        <f>ABS(IPMT($E$70/12,8,$E$71,$E$69))</f>
        <v>0</v>
      </c>
      <c r="O75" s="31">
        <f>ABS(IPMT($E$70/12,9,$E$71,$E$69))</f>
        <v>0</v>
      </c>
      <c r="P75" s="31">
        <f>ABS(IPMT($E$70/12,10,$E$71,$E$69))</f>
        <v>0</v>
      </c>
      <c r="Q75" s="31">
        <f>ABS(IPMT($E$70/12,11,$E$71,$E$69))</f>
        <v>0</v>
      </c>
      <c r="R75" s="31">
        <f>ABS(IPMT($E$70/12,12,$E$71,$E$69))</f>
        <v>0</v>
      </c>
      <c r="S75" s="31">
        <f>SUM(G75:R75)</f>
        <v>0</v>
      </c>
    </row>
    <row r="76" spans="1:19">
      <c r="A76" s="24"/>
      <c r="B76" s="23"/>
      <c r="C76" s="23" t="s">
        <v>164</v>
      </c>
      <c r="D76" s="24"/>
      <c r="E76" s="24"/>
      <c r="F76" s="24"/>
      <c r="G76" s="31">
        <f>ABS(PPMT($E$70/12,1,$E$71,$E$69))</f>
        <v>0</v>
      </c>
      <c r="H76" s="31">
        <f>ABS(PPMT($E$70/12,2,$E$71,$E$69))</f>
        <v>0</v>
      </c>
      <c r="I76" s="31">
        <f>ABS(PPMT($E$70/12,3,$E$71,$E$69))</f>
        <v>0</v>
      </c>
      <c r="J76" s="31">
        <f>ABS(PPMT($E$70/12,4,$E$71,$E$69))</f>
        <v>0</v>
      </c>
      <c r="K76" s="31">
        <f>ABS(PPMT($E$70/12,5,$E$71,$E$69))</f>
        <v>0</v>
      </c>
      <c r="L76" s="31">
        <f>ABS(PPMT($E$70/12,6,$E$71,$E$69))</f>
        <v>0</v>
      </c>
      <c r="M76" s="31">
        <f>ABS(PPMT($E$70/12,7,$E$71,$E$69))</f>
        <v>0</v>
      </c>
      <c r="N76" s="31">
        <f>ABS(PPMT($E$70/12,8,$E$71,$E$69))</f>
        <v>0</v>
      </c>
      <c r="O76" s="31">
        <f>ABS(PPMT($E$70/12,9,$E$71,$E$69))</f>
        <v>0</v>
      </c>
      <c r="P76" s="31">
        <f>ABS(PPMT($E$70/12,10,$E$71,$E$69))</f>
        <v>0</v>
      </c>
      <c r="Q76" s="31">
        <f>ABS(PPMT($E$70/12,11,$E$71,$E$69))</f>
        <v>0</v>
      </c>
      <c r="R76" s="31">
        <f>ABS(PPMT($E$70/12,12,$E$71,$E$69))</f>
        <v>0</v>
      </c>
      <c r="S76" s="31">
        <f>SUM(G76:R76)</f>
        <v>0</v>
      </c>
    </row>
    <row r="77" spans="1:19">
      <c r="A77" s="24"/>
      <c r="B77" s="23"/>
      <c r="C77" s="23" t="s">
        <v>166</v>
      </c>
      <c r="D77" s="24"/>
      <c r="E77" s="24"/>
      <c r="F77" s="24"/>
      <c r="G77" s="31">
        <f>E69-G76</f>
        <v>0</v>
      </c>
      <c r="H77" s="70">
        <f t="shared" ref="H77:R77" si="11">G77-H76</f>
        <v>0</v>
      </c>
      <c r="I77" s="70">
        <f t="shared" si="11"/>
        <v>0</v>
      </c>
      <c r="J77" s="70">
        <f t="shared" si="11"/>
        <v>0</v>
      </c>
      <c r="K77" s="70">
        <f t="shared" si="11"/>
        <v>0</v>
      </c>
      <c r="L77" s="70">
        <f t="shared" si="11"/>
        <v>0</v>
      </c>
      <c r="M77" s="70">
        <f t="shared" si="11"/>
        <v>0</v>
      </c>
      <c r="N77" s="70">
        <f t="shared" si="11"/>
        <v>0</v>
      </c>
      <c r="O77" s="70">
        <f t="shared" si="11"/>
        <v>0</v>
      </c>
      <c r="P77" s="70">
        <f t="shared" si="11"/>
        <v>0</v>
      </c>
      <c r="Q77" s="70">
        <f t="shared" si="11"/>
        <v>0</v>
      </c>
      <c r="R77" s="70">
        <f t="shared" si="11"/>
        <v>0</v>
      </c>
      <c r="S77" s="70"/>
    </row>
    <row r="78" spans="1:19">
      <c r="A78" s="24"/>
      <c r="B78" s="23" t="s">
        <v>293</v>
      </c>
      <c r="C78" s="23"/>
      <c r="D78" s="24"/>
      <c r="E78" s="24"/>
      <c r="F78" s="24"/>
      <c r="G78" s="24"/>
      <c r="H78" s="24"/>
      <c r="I78" s="24"/>
      <c r="J78" s="24"/>
      <c r="K78" s="24"/>
      <c r="L78" s="24"/>
      <c r="M78" s="24"/>
      <c r="N78" s="24"/>
      <c r="O78" s="24"/>
      <c r="P78" s="24"/>
      <c r="Q78" s="24"/>
      <c r="R78" s="24"/>
      <c r="S78" s="24"/>
    </row>
    <row r="79" spans="1:19">
      <c r="A79" s="24"/>
      <c r="B79" s="23"/>
      <c r="C79" s="23" t="s">
        <v>326</v>
      </c>
      <c r="D79" s="24"/>
      <c r="E79" s="24"/>
      <c r="F79" s="24"/>
      <c r="G79" s="31">
        <f>IF($E71&gt;12,IF('1. Required Start-Up Funds'!$M$48&lt;=1,ABS(IPMT($E70/12,13,$E71,$E69)),IF('1. Required Start-Up Funds'!$M$48=2,ABS(IPMT($E70/12,1,$E71,$E69)),$E69*$E70/12)),0)</f>
        <v>0</v>
      </c>
      <c r="H79" s="31">
        <f>IF($E71&gt;13,IF('1. Required Start-Up Funds'!$M$48&lt;=1,ABS(IPMT($E70/12,14,$E71,$E69)),IF('1. Required Start-Up Funds'!$M$48=2,ABS(IPMT($E70/12,2,$E71,$E69)),$E69*$E70/12)),0)</f>
        <v>0</v>
      </c>
      <c r="I79" s="31">
        <f>IF($E71&gt;14,IF('1. Required Start-Up Funds'!$M$48&lt;=1,ABS(IPMT($E70/12,15,$E71,$E69)),IF('1. Required Start-Up Funds'!$M$48=2,ABS(IPMT($E70/12,3,$E71,$E69)),$E69*$E70/12)),0)</f>
        <v>0</v>
      </c>
      <c r="J79" s="31">
        <f>IF($E71&gt;15,IF('1. Required Start-Up Funds'!$M$48&lt;=1,ABS(IPMT($E70/12,16,$E71,$E69)),IF('1. Required Start-Up Funds'!$M$48=2,ABS(IPMT($E70/12,4,$E71,$E69)),$E69*$E70/12)),0)</f>
        <v>0</v>
      </c>
      <c r="K79" s="31">
        <f>IF($E71&gt;16,IF('1. Required Start-Up Funds'!$M$48&lt;=1,ABS(IPMT($E70/12,17,$E71,$E69)),IF('1. Required Start-Up Funds'!$M$48=2,ABS(IPMT($E70/12,5,$E71,$E69)),$E69*$E70/12)),0)</f>
        <v>0</v>
      </c>
      <c r="L79" s="31">
        <f>IF($E71&gt;17,IF('1. Required Start-Up Funds'!$M$48&lt;=1,ABS(IPMT($E70/12,18,$E71,$E69)),IF('1. Required Start-Up Funds'!$M$48=2,ABS(IPMT($E70/12,6,$E71,$E69)),$E69*$E70/12)),0)</f>
        <v>0</v>
      </c>
      <c r="M79" s="31">
        <f>IF($E71&gt;18,IF('1. Required Start-Up Funds'!$M$48&lt;=1,ABS(IPMT($E70/12,19,$E71,$E69)),IF('1. Required Start-Up Funds'!$M$48=2,ABS(IPMT($E70/12,7,$E71,$E69)),$E69*$E70/12)),0)</f>
        <v>0</v>
      </c>
      <c r="N79" s="31">
        <f>IF($E71&gt;19,IF('1. Required Start-Up Funds'!$M$48&lt;=1,ABS(IPMT($E70/12,20,$E71,$E69)),IF('1. Required Start-Up Funds'!$M$48=2,ABS(IPMT($E70/12,8,$E71,$E69)),$E69*$E70/12)),0)</f>
        <v>0</v>
      </c>
      <c r="O79" s="31">
        <f>IF($E71&gt;20,IF('1. Required Start-Up Funds'!$M$48&lt;=1,ABS(IPMT($E70/12,21,$E71,$E69)),IF('1. Required Start-Up Funds'!$M$48=2,ABS(IPMT($E70/12,9,$E71,$E69)),$E69*$E70/12)),0)</f>
        <v>0</v>
      </c>
      <c r="P79" s="31">
        <f>IF($E71&gt;21,IF('1. Required Start-Up Funds'!$M$48&lt;=1,ABS(IPMT($E70/12,22,$E71,$E69)),IF('1. Required Start-Up Funds'!$M$48=2,ABS(IPMT($E70/12,10,$E71,$E69)),$E69*$E70/12)),0)</f>
        <v>0</v>
      </c>
      <c r="Q79" s="31">
        <f>IF($E71&gt;22,IF('1. Required Start-Up Funds'!$M$48&lt;=1,ABS(IPMT($E70/12,23,$E71,$E69)),IF('1. Required Start-Up Funds'!$M$48=2,ABS(IPMT($E70/12,11,$E71,$E69)),$E69*$E70/12)),0)</f>
        <v>0</v>
      </c>
      <c r="R79" s="31">
        <f>IF($E71&gt;23,IF('1. Required Start-Up Funds'!$M$48&lt;=1,ABS(IPMT($E70/12,24,$E71,$E69)),IF('1. Required Start-Up Funds'!$M$48=2,ABS(IPMT($E70/12,12,$E71,$E69)),$E69*$E70/12)),0)</f>
        <v>0</v>
      </c>
      <c r="S79" s="31">
        <f>SUM(G79:R79)</f>
        <v>0</v>
      </c>
    </row>
    <row r="80" spans="1:19">
      <c r="A80" s="24"/>
      <c r="B80" s="23"/>
      <c r="C80" s="23" t="s">
        <v>164</v>
      </c>
      <c r="D80" s="24"/>
      <c r="E80" s="24"/>
      <c r="F80" s="24"/>
      <c r="G80" s="31">
        <f>IF($E71&gt;12,IF('1. Required Start-Up Funds'!$M$48&lt;=1,ABS(PPMT($E70/12,13,$E71,$E69)),IF('1. Required Start-Up Funds'!$M$48=2,ABS(PPMT($E70/12,1,$E71,$E69)),0)),0)</f>
        <v>0</v>
      </c>
      <c r="H80" s="31">
        <f>IF($E71&gt;13,IF('1. Required Start-Up Funds'!$M$48&lt;=1,ABS(PPMT($E70/12,14,$E71,$E69)),IF('1. Required Start-Up Funds'!$M24=2,ABS(PPMT($E70/12,2,$E71,$E69)),0)),0)</f>
        <v>0</v>
      </c>
      <c r="I80" s="31">
        <f>IF($E71&gt;14,IF('1. Required Start-Up Funds'!$M$48&lt;=1,ABS(PPMT($E70/12,15,$E71,$E69)),IF('1. Required Start-Up Funds'!$M$48=2,ABS(PPMT($E70/12,3,$E71,$E69)),0)),0)</f>
        <v>0</v>
      </c>
      <c r="J80" s="31">
        <f>IF($E71&gt;15,IF('1. Required Start-Up Funds'!$M$48&lt;=1,ABS(PPMT($E70/12,16,$E71,$E69)),IF('1. Required Start-Up Funds'!$M$48=2,ABS(PPMT($E70/12,4,$E71,$E69)),0)),0)</f>
        <v>0</v>
      </c>
      <c r="K80" s="31">
        <f>IF($E71&gt;16,IF('1. Required Start-Up Funds'!$M$48&lt;=1,ABS(PPMT($E70/12,17,$E71,$E69)),IF('1. Required Start-Up Funds'!$M$48=2,ABS(PPMT($E70/12,5,$E71,$E69)),0)),0)</f>
        <v>0</v>
      </c>
      <c r="L80" s="31">
        <f>IF($E71&gt;17,IF('1. Required Start-Up Funds'!$M$48&lt;=1,ABS(PPMT($E70/12,18,$E71,$E69)),IF('1. Required Start-Up Funds'!$M$48=2,ABS(PPMT($E70/12,6,$E71,$E69)),0)),0)</f>
        <v>0</v>
      </c>
      <c r="M80" s="31">
        <f>IF($E71&gt;18,IF('1. Required Start-Up Funds'!$M$48&lt;=1,ABS(PPMT($E70/12,19,$E71,$E69)),IF('1. Required Start-Up Funds'!$M$48=2,ABS(PPMT($E70/12,7,$E71,$E69)),0)),0)</f>
        <v>0</v>
      </c>
      <c r="N80" s="31">
        <f>IF($E71&gt;19,IF('1. Required Start-Up Funds'!$M$48&lt;=1,ABS(PPMT($E70/12,20,$E71,$E69)),IF('1. Required Start-Up Funds'!$M$48=2,ABS(PPMT($E70/12,8,$E71,$E69)),0)),0)</f>
        <v>0</v>
      </c>
      <c r="O80" s="31">
        <f>IF($E71&gt;20,IF('1. Required Start-Up Funds'!$M$48&lt;=1,ABS(PPMT($E70/12,21,$E71,$E69)),IF('1. Required Start-Up Funds'!$M$48=2,ABS(PPMT($E70/12,9,$E71,$E69)),0)),0)</f>
        <v>0</v>
      </c>
      <c r="P80" s="31">
        <f>IF($E71&gt;21,IF('1. Required Start-Up Funds'!$M$48&lt;=1,ABS(PPMT($E70/12,22,$E71,$E69)),IF('1. Required Start-Up Funds'!$M$48=2,ABS(PPMT($E70/12,10,$E71,$E69)),0)),0)</f>
        <v>0</v>
      </c>
      <c r="Q80" s="31">
        <f>IF($E71&gt;22,IF('1. Required Start-Up Funds'!$M$48&lt;=1,ABS(PPMT($E70/12,23,$E71,$E69)),IF('1. Required Start-Up Funds'!$M$48=2,ABS(PPMT($E70/12,11,$E71,$E69)),0)),0)</f>
        <v>0</v>
      </c>
      <c r="R80" s="31">
        <f>IF($E71&gt;23,IF('1. Required Start-Up Funds'!$M$48&lt;=1,ABS(PPMT($E70/12,24,$E71,$E69)),IF('1. Required Start-Up Funds'!$M$48=2,ABS(PPMT($E70/12,12,$E71,$E69)),0)),0)</f>
        <v>0</v>
      </c>
      <c r="S80" s="31">
        <f>SUM(G80:R80)</f>
        <v>0</v>
      </c>
    </row>
    <row r="81" spans="1:19">
      <c r="A81" s="24"/>
      <c r="B81" s="23"/>
      <c r="C81" s="23" t="s">
        <v>166</v>
      </c>
      <c r="D81" s="24"/>
      <c r="E81" s="24"/>
      <c r="F81" s="24"/>
      <c r="G81" s="70">
        <f>R77-G80</f>
        <v>0</v>
      </c>
      <c r="H81" s="93">
        <f t="shared" ref="H81:R81" si="12">G81-H80</f>
        <v>0</v>
      </c>
      <c r="I81" s="93">
        <f t="shared" si="12"/>
        <v>0</v>
      </c>
      <c r="J81" s="93">
        <f t="shared" si="12"/>
        <v>0</v>
      </c>
      <c r="K81" s="93">
        <f t="shared" si="12"/>
        <v>0</v>
      </c>
      <c r="L81" s="93">
        <f t="shared" si="12"/>
        <v>0</v>
      </c>
      <c r="M81" s="93">
        <f t="shared" si="12"/>
        <v>0</v>
      </c>
      <c r="N81" s="93">
        <f t="shared" si="12"/>
        <v>0</v>
      </c>
      <c r="O81" s="93">
        <f t="shared" si="12"/>
        <v>0</v>
      </c>
      <c r="P81" s="93">
        <f t="shared" si="12"/>
        <v>0</v>
      </c>
      <c r="Q81" s="93">
        <f t="shared" si="12"/>
        <v>0</v>
      </c>
      <c r="R81" s="93">
        <f t="shared" si="12"/>
        <v>0</v>
      </c>
      <c r="S81" s="24"/>
    </row>
    <row r="82" spans="1:19">
      <c r="A82" s="24"/>
      <c r="B82" s="23" t="s">
        <v>284</v>
      </c>
      <c r="C82" s="23"/>
      <c r="D82" s="24"/>
      <c r="E82" s="24"/>
      <c r="F82" s="24"/>
      <c r="G82" s="24"/>
      <c r="H82" s="24"/>
      <c r="I82" s="24"/>
      <c r="J82" s="24"/>
      <c r="K82" s="24"/>
      <c r="L82" s="24"/>
      <c r="M82" s="24"/>
      <c r="N82" s="24"/>
      <c r="O82" s="24"/>
      <c r="P82" s="24"/>
      <c r="Q82" s="24"/>
      <c r="R82" s="24"/>
      <c r="S82" s="24"/>
    </row>
    <row r="83" spans="1:19">
      <c r="A83" s="24"/>
      <c r="B83" s="23"/>
      <c r="C83" s="23" t="s">
        <v>326</v>
      </c>
      <c r="D83" s="24"/>
      <c r="E83" s="24"/>
      <c r="F83" s="24"/>
      <c r="G83" s="31">
        <f>IF($E71&gt;24,IF('1. Required Start-Up Funds'!$M$48&lt;=1,ABS(IPMT($E70/12,25,$E71,$E69)),IF('1. Required Start-Up Funds'!$M$48=2,ABS(IPMT($E70/12,13,$E71,$E69)),ABS(IPMT($E70/12,1,$E71,$E69)))),0)</f>
        <v>0</v>
      </c>
      <c r="H83" s="31">
        <f>IF($E71&gt;25,IF('1. Required Start-Up Funds'!$M$48&lt;=1,ABS(IPMT($E70/12,26,$E71,$E69)),IF('1. Required Start-Up Funds'!$M$48=2,ABS(IPMT($E70/12,14,$E71,$E69)),ABS(IPMT($E70/12,2,$E71,$E69)))),0)</f>
        <v>0</v>
      </c>
      <c r="I83" s="31">
        <f>IF($E71&gt;26,IF('1. Required Start-Up Funds'!$M$48&lt;=1,ABS(IPMT($E70/12,27,$E71,$E69)),IF('1. Required Start-Up Funds'!$M$48=2,ABS(IPMT($E70/12,15,$E71,$E69)),ABS(IPMT($E70/12,3,$E71,$E69)))),0)</f>
        <v>0</v>
      </c>
      <c r="J83" s="31">
        <f>IF($E71&gt;27,IF('1. Required Start-Up Funds'!$M$48&lt;=1,ABS(IPMT($E70/12,28,$E71,$E69)),IF('1. Required Start-Up Funds'!$M$48=2,ABS(IPMT($E70/12,16,$E71,$E69)),ABS(IPMT($E70/12,4,$E71,$E69)))),0)</f>
        <v>0</v>
      </c>
      <c r="K83" s="31">
        <f>IF($E71&gt;28,IF('1. Required Start-Up Funds'!$M$48&lt;=1,ABS(IPMT($E70/12,29,$E71,$E69)),IF('1. Required Start-Up Funds'!$M$48=2,ABS(IPMT($E70/12,17,$E71,$E69)),ABS(IPMT(E$90/12,5,$E71,$E69)))),0)</f>
        <v>0</v>
      </c>
      <c r="L83" s="31">
        <f>IF($E71&gt;29,IF('1. Required Start-Up Funds'!$M$48&lt;=1,ABS(IPMT($E70/12,30,$E71,$E69)),IF('1. Required Start-Up Funds'!$M$48=2,ABS(IPMT($E70/12,18,$E71,$E69)),ABS(IPMT($E70/12,6,$E71,$E69)))),0)</f>
        <v>0</v>
      </c>
      <c r="M83" s="31">
        <f>IF($E71&gt;30,IF('1. Required Start-Up Funds'!$M$48&lt;=1,ABS(IPMT($E70/12,31,$E71,$E69)),IF('1. Required Start-Up Funds'!$M$48=2,ABS(IPMT($E70/12,19,$E71,$E69)),ABS(IPMT($E70/12,7,$E71,$E69)))),0)</f>
        <v>0</v>
      </c>
      <c r="N83" s="31">
        <f>IF($E71&gt;31,IF('1. Required Start-Up Funds'!$M$48&lt;=1,ABS(IPMT($E70/12,32,$E71,$E69)),IF('1. Required Start-Up Funds'!$M$48=2,ABS(IPMT($E70/12,20,$E71,$E69)),ABS(IPMT($E70/12,8,$E71,$E69)))),0)</f>
        <v>0</v>
      </c>
      <c r="O83" s="31">
        <f>IF($E71&gt;32,IF('1. Required Start-Up Funds'!$M$48&lt;=1,ABS(IPMT($E70/12,33,$E71,$E69)),IF('1. Required Start-Up Funds'!$M$48=2,ABS(IPMT($E70/12,21,$E71,$E69)),ABS(IPMT($E70/12,9,$E71,$E69)))),0)</f>
        <v>0</v>
      </c>
      <c r="P83" s="31">
        <f>IF($E71&gt;33,IF('1. Required Start-Up Funds'!$M$48&lt;=1,ABS(IPMT($E70/12,34,$E71,$E69)),IF('1. Required Start-Up Funds'!$M$48=2,ABS(IPMT($E70/12,22,$E71,$E69)),ABS(IPMT($E70/12,10,$E71,$E69)))),0)</f>
        <v>0</v>
      </c>
      <c r="Q83" s="31">
        <f>IF($E71&gt;34,IF('1. Required Start-Up Funds'!$M$48&lt;=1,ABS(IPMT($E70/12,35,$E71,$E69)),IF('1. Required Start-Up Funds'!$M24=2,ABS(IPMT($E70/12,23,$E71,$E69)),ABS(IPMT($E70/12,11,$E71,$E69)))),0)</f>
        <v>0</v>
      </c>
      <c r="R83" s="31">
        <f>IF($E71&gt;35,IF('1. Required Start-Up Funds'!$M$48&lt;=1,ABS(IPMT($E70/12,36,$E71,$E69)),IF('1. Required Start-Up Funds'!$M$48=2,ABS(IPMT($E70/12,24,$E71,$E69)),ABS(IPMT($E70/12,12,$E71,$E69)))),0)</f>
        <v>0</v>
      </c>
      <c r="S83" s="31">
        <f>SUM(G83:R83)</f>
        <v>0</v>
      </c>
    </row>
    <row r="84" spans="1:19">
      <c r="A84" s="24"/>
      <c r="B84" s="23"/>
      <c r="C84" s="23" t="s">
        <v>164</v>
      </c>
      <c r="D84" s="24"/>
      <c r="E84" s="24"/>
      <c r="F84" s="24"/>
      <c r="G84" s="31">
        <f>IF($E71&gt;24,IF('1. Required Start-Up Funds'!$M$48&lt;=1,ABS(PPMT($E70/12,25,$E71,$E69)),IF('1. Required Start-Up Funds'!$M$48=2,ABS(PPMT($E70/12,13,$E71,$E69)),ABS(PPMT($E70/12,1,$E71,$E69)))),0)</f>
        <v>0</v>
      </c>
      <c r="H84" s="31">
        <f>IF($E71&gt;25,IF('1. Required Start-Up Funds'!$M$48&lt;=1,ABS(PPMT($E70/12,26,$E71,$E69)),IF('1. Required Start-Up Funds'!$M$48=2,ABS(PPMT($E70/12,14,$E71,$E69)),ABS(PPMT($E70/12,2,$E71,$E69)))),0)</f>
        <v>0</v>
      </c>
      <c r="I84" s="31">
        <f>IF($E71&gt;26,IF('1. Required Start-Up Funds'!$M$48&lt;=1,ABS(PPMT($E70/12,27,$E71,$E69)),IF('1. Required Start-Up Funds'!$M$48=2,ABS(PPMT($E70/12,15,$E71,$E69)),ABS(PPMT($E70/12,3,$E71,$E69)))),0)</f>
        <v>0</v>
      </c>
      <c r="J84" s="31">
        <f>IF($E71&gt;27,IF('1. Required Start-Up Funds'!$M$48&lt;=1,ABS(PPMT($E70/12,28,$E71,$E69)),IF('1. Required Start-Up Funds'!$M$48=2,ABS(PPMT($E70/12,16,$E71,$E69)),ABS(PPMT($E70/12,4,$E71,$E69)))),0)</f>
        <v>0</v>
      </c>
      <c r="K84" s="31">
        <f>IF($E71&gt;28,IF('1. Required Start-Up Funds'!$M$48&lt;=1,ABS(PPMT($E70/12,29,$E71,$E69)),IF('1. Required Start-Up Funds'!$M$48=2,ABS(PPMT($E70/12,17,$E71,$E69)),ABS(PPMT($E70/12,5,$E71,$E69)))),0)</f>
        <v>0</v>
      </c>
      <c r="L84" s="31">
        <f>IF($E71&gt;29,IF('1. Required Start-Up Funds'!$M$48&lt;=1,ABS(PPMT($E70/12,30,$E71,$E69)),IF('1. Required Start-Up Funds'!$M$48=2,ABS(PPMT($E70/12,18,$E71,$E69)),ABS(PPMT($E70/12,6,$E71,$E69)))),0)</f>
        <v>0</v>
      </c>
      <c r="M84" s="31">
        <f>IF($E71&gt;30,IF('1. Required Start-Up Funds'!$M$48&lt;=1,ABS(PPMT($E70/12,31,$E71,$E69)),IF('1. Required Start-Up Funds'!$M$48=2,ABS(PPMT($E70/12,19,$E71,$E69)),ABS(PPMT($E70/12,7,$E71,$E69)))),0)</f>
        <v>0</v>
      </c>
      <c r="N84" s="31">
        <f>IF($E71&gt;31,IF('1. Required Start-Up Funds'!$M$48&lt;=1,ABS(PPMT($E70/12,32,$E71,$E69)),IF('1. Required Start-Up Funds'!$M$48=2,ABS(PPMT($E70/12,20,$E71,$E69)),ABS(PPMT($E70/12,8,$E71,$E69)))),0)</f>
        <v>0</v>
      </c>
      <c r="O84" s="31">
        <f>IF($E71&gt;32,IF('1. Required Start-Up Funds'!$M$48&lt;=1,ABS(PPMT($E70/12,33,$E71,$E69)),IF('1. Required Start-Up Funds'!$M$48=2,ABS(PPMT($E70/12,21,$E71,$E69)),ABS(PPMT($E70/12,9,$E71,$E69)))),0)</f>
        <v>0</v>
      </c>
      <c r="P84" s="31">
        <f>IF($E71&gt;33,IF('1. Required Start-Up Funds'!$M$48&lt;=1,ABS(PPMT($E70/12,34,$E71,$E69)),IF('1. Required Start-Up Funds'!$M$48=2,ABS(PPMT($E70/12,22,$E71,$E69)),ABS(PPMT($E70/12,10,$E71,$E69)))),0)</f>
        <v>0</v>
      </c>
      <c r="Q84" s="31">
        <f>IF($E71&gt;34,IF('1. Required Start-Up Funds'!$M$48&lt;=1,ABS(PPMT($E70/12,35,$E71,$E69)),IF('1. Required Start-Up Funds'!$M$48=2,ABS(PPMT($E70/12,23,$E71,$E69)),ABS(PPMT($E70/12,11,$E71,$E69)))),0)</f>
        <v>0</v>
      </c>
      <c r="R84" s="31">
        <f>IF($E71&gt;35,IF('1. Required Start-Up Funds'!$M$48&lt;=1,ABS(PPMT($E70/12,36,$E71,$E69)),IF('1. Required Start-Up Funds'!$M$48=2,ABS(PPMT($E70/12,24,$E71,$E69)),ABS(PPMT($E70/12,12,$E71,$E69)))),0)</f>
        <v>0</v>
      </c>
      <c r="S84" s="31">
        <f>SUM(G84:R84)</f>
        <v>0</v>
      </c>
    </row>
    <row r="85" spans="1:19">
      <c r="A85" s="24"/>
      <c r="B85" s="23"/>
      <c r="C85" s="23" t="s">
        <v>166</v>
      </c>
      <c r="D85" s="24"/>
      <c r="E85" s="24"/>
      <c r="F85" s="24"/>
      <c r="G85" s="70">
        <f>R81-G84</f>
        <v>0</v>
      </c>
      <c r="H85" s="70">
        <f t="shared" ref="H85:R85" si="13">G85-H84</f>
        <v>0</v>
      </c>
      <c r="I85" s="70">
        <f t="shared" si="13"/>
        <v>0</v>
      </c>
      <c r="J85" s="70">
        <f t="shared" si="13"/>
        <v>0</v>
      </c>
      <c r="K85" s="70">
        <f t="shared" si="13"/>
        <v>0</v>
      </c>
      <c r="L85" s="70">
        <f t="shared" si="13"/>
        <v>0</v>
      </c>
      <c r="M85" s="70">
        <f t="shared" si="13"/>
        <v>0</v>
      </c>
      <c r="N85" s="70">
        <f t="shared" si="13"/>
        <v>0</v>
      </c>
      <c r="O85" s="70">
        <f t="shared" si="13"/>
        <v>0</v>
      </c>
      <c r="P85" s="70">
        <f t="shared" si="13"/>
        <v>0</v>
      </c>
      <c r="Q85" s="70">
        <f t="shared" si="13"/>
        <v>0</v>
      </c>
      <c r="R85" s="70">
        <f t="shared" si="13"/>
        <v>0</v>
      </c>
      <c r="S85" s="24"/>
    </row>
    <row r="88" spans="1:19">
      <c r="A88" s="23" t="s">
        <v>102</v>
      </c>
      <c r="B88" s="23"/>
      <c r="C88" s="23"/>
      <c r="D88" s="24"/>
      <c r="E88" s="24"/>
      <c r="F88" s="24"/>
      <c r="G88" s="24"/>
      <c r="H88" s="24"/>
      <c r="I88" s="24"/>
      <c r="J88" s="24"/>
      <c r="K88" s="24"/>
      <c r="L88" s="24"/>
      <c r="M88" s="24"/>
      <c r="N88" s="24"/>
      <c r="O88" s="24"/>
      <c r="P88" s="24"/>
      <c r="Q88" s="24"/>
      <c r="R88" s="24"/>
      <c r="S88" s="24"/>
    </row>
    <row r="89" spans="1:19">
      <c r="A89" s="24"/>
      <c r="B89" s="23" t="s">
        <v>330</v>
      </c>
      <c r="C89" s="23"/>
      <c r="D89" s="24"/>
      <c r="E89" s="92">
        <f>'1. Required Start-Up Funds'!I44</f>
        <v>0</v>
      </c>
      <c r="F89" s="24"/>
      <c r="G89" s="24"/>
      <c r="H89" s="24"/>
      <c r="I89" s="24"/>
      <c r="J89" s="24"/>
      <c r="K89" s="24"/>
      <c r="L89" s="24"/>
      <c r="M89" s="24"/>
      <c r="N89" s="24"/>
      <c r="O89" s="24"/>
      <c r="P89" s="24"/>
      <c r="Q89" s="24"/>
      <c r="R89" s="24"/>
      <c r="S89" s="24"/>
    </row>
    <row r="90" spans="1:19">
      <c r="A90" s="24"/>
      <c r="B90" s="23" t="s">
        <v>332</v>
      </c>
      <c r="C90" s="23"/>
      <c r="D90" s="24"/>
      <c r="E90" s="36">
        <f>'1. Required Start-Up Funds'!J44</f>
        <v>3.7499999999999999E-2</v>
      </c>
      <c r="F90" s="24"/>
      <c r="G90" s="24"/>
      <c r="H90" s="24"/>
      <c r="I90" s="24"/>
      <c r="J90" s="24"/>
      <c r="K90" s="24"/>
      <c r="L90" s="24"/>
      <c r="M90" s="24"/>
      <c r="N90" s="24"/>
      <c r="O90" s="24"/>
      <c r="P90" s="24"/>
      <c r="Q90" s="24"/>
      <c r="R90" s="24"/>
      <c r="S90" s="24"/>
    </row>
    <row r="91" spans="1:19">
      <c r="A91" s="24"/>
      <c r="B91" s="23" t="s">
        <v>162</v>
      </c>
      <c r="C91" s="23"/>
      <c r="D91" s="24"/>
      <c r="E91" s="32">
        <f>'1. Required Start-Up Funds'!K44</f>
        <v>48</v>
      </c>
      <c r="F91" s="24"/>
      <c r="G91" s="24"/>
      <c r="H91" s="24"/>
      <c r="I91" s="24"/>
      <c r="J91" s="24"/>
      <c r="K91" s="24"/>
      <c r="L91" s="24"/>
      <c r="M91" s="24"/>
      <c r="N91" s="24"/>
      <c r="O91" s="24"/>
      <c r="P91" s="24"/>
      <c r="Q91" s="24"/>
      <c r="R91" s="24"/>
      <c r="S91" s="24"/>
    </row>
    <row r="92" spans="1:19">
      <c r="A92" s="24"/>
      <c r="B92" s="23" t="s">
        <v>165</v>
      </c>
      <c r="C92" s="23"/>
      <c r="D92" s="24"/>
      <c r="E92" s="34">
        <f>ABS(PMT(E90/12,E91,E89))</f>
        <v>0</v>
      </c>
      <c r="F92" s="24"/>
      <c r="G92" s="24"/>
      <c r="H92" s="24"/>
      <c r="I92" s="24"/>
      <c r="J92" s="24"/>
      <c r="K92" s="24"/>
      <c r="L92" s="24"/>
      <c r="M92" s="24"/>
      <c r="N92" s="24"/>
      <c r="O92" s="24"/>
      <c r="P92" s="24"/>
      <c r="Q92" s="24"/>
      <c r="R92" s="24"/>
      <c r="S92" s="24"/>
    </row>
    <row r="93" spans="1:19">
      <c r="A93" s="24"/>
      <c r="B93" s="23"/>
      <c r="C93" s="23"/>
      <c r="D93" s="24"/>
      <c r="E93" s="24"/>
      <c r="F93" s="24"/>
      <c r="G93" s="24"/>
      <c r="H93" s="24"/>
      <c r="I93" s="24"/>
      <c r="J93" s="24"/>
      <c r="K93" s="24"/>
      <c r="L93" s="24"/>
      <c r="M93" s="24"/>
      <c r="N93" s="24"/>
      <c r="O93" s="24"/>
      <c r="P93" s="24"/>
      <c r="Q93" s="24"/>
      <c r="R93" s="24"/>
      <c r="S93" s="24"/>
    </row>
    <row r="94" spans="1:19">
      <c r="A94" s="24"/>
      <c r="B94" s="23" t="s">
        <v>283</v>
      </c>
      <c r="C94" s="23"/>
      <c r="D94" s="24"/>
      <c r="E94" s="24"/>
      <c r="F94" s="24"/>
      <c r="G94" s="24"/>
      <c r="H94" s="24"/>
      <c r="I94" s="24"/>
      <c r="J94" s="24"/>
      <c r="K94" s="24"/>
      <c r="L94" s="24"/>
      <c r="M94" s="24"/>
      <c r="N94" s="24"/>
      <c r="O94" s="24"/>
      <c r="P94" s="24"/>
      <c r="Q94" s="24"/>
      <c r="R94" s="24"/>
      <c r="S94" s="24"/>
    </row>
    <row r="95" spans="1:19">
      <c r="A95" s="24"/>
      <c r="B95" s="23"/>
      <c r="C95" s="23" t="s">
        <v>326</v>
      </c>
      <c r="D95" s="24"/>
      <c r="E95" s="24"/>
      <c r="F95" s="24"/>
      <c r="G95" s="31">
        <f>IF('1. Required Start-Up Funds'!$M$44&lt;=1,ABS(IPMT($E$90/12,1,$E$91,$E$89)),$E$89*$E$90/12)</f>
        <v>0</v>
      </c>
      <c r="H95" s="31">
        <f>IF('1. Required Start-Up Funds'!$M$44&lt;=1,ABS(IPMT($E$90/12,2,$E$91,$E$89)),$E$89*$E$90/12)</f>
        <v>0</v>
      </c>
      <c r="I95" s="31">
        <f>IF('1. Required Start-Up Funds'!$M$44&lt;=1,ABS(IPMT($E$90/12,3,$E$91,$E$89)),$E$89*$E$90/12)</f>
        <v>0</v>
      </c>
      <c r="J95" s="31">
        <f>IF('1. Required Start-Up Funds'!$M$44&lt;=1,ABS(IPMT($E$90/12,4,$E$91,$E$89)),$E$89*$E$90/12)</f>
        <v>0</v>
      </c>
      <c r="K95" s="31">
        <f>IF('1. Required Start-Up Funds'!$M$44&lt;=1,ABS(IPMT($E$90/12,5,$E$91,$E$89)),$E$89*$E$90/12)</f>
        <v>0</v>
      </c>
      <c r="L95" s="31">
        <f>IF('1. Required Start-Up Funds'!$M$44&lt;=1,ABS(IPMT($E$90/12,6,$E$91,$E$89)),$E$89*$E$90/12)</f>
        <v>0</v>
      </c>
      <c r="M95" s="31">
        <f>IF('1. Required Start-Up Funds'!$M$44&lt;=1,ABS(IPMT($E$90/12,7,$E$91,$E$89)),$E$89*$E$90/12)</f>
        <v>0</v>
      </c>
      <c r="N95" s="31">
        <f>IF('1. Required Start-Up Funds'!$M$44&lt;=1,ABS(IPMT($E$90/12,8,$E$91,$E$89)),$E$89*$E$90/12)</f>
        <v>0</v>
      </c>
      <c r="O95" s="31">
        <f>IF('1. Required Start-Up Funds'!$M$44&lt;=1,ABS(IPMT($E$90/12,9,$E$91,$E$89)),$E$89*$E$90/12)</f>
        <v>0</v>
      </c>
      <c r="P95" s="31">
        <f>IF('1. Required Start-Up Funds'!$M$44&lt;=1,ABS(IPMT($E$90/12,10,$E$91,$E$89)),$E$89*$E$90/12)</f>
        <v>0</v>
      </c>
      <c r="Q95" s="31">
        <f>IF('1. Required Start-Up Funds'!$M$44&lt;=1,ABS(IPMT($E$90/12,11,$E$91,$E$89)),$E$89*$E$90/12)</f>
        <v>0</v>
      </c>
      <c r="R95" s="31">
        <f>IF('1. Required Start-Up Funds'!$M$44&lt;=1,ABS(IPMT($E$90/12,12,$E$91,$E$89)),$E$89*$E$90/12)</f>
        <v>0</v>
      </c>
      <c r="S95" s="31">
        <f>SUM(G95:R95)</f>
        <v>0</v>
      </c>
    </row>
    <row r="96" spans="1:19">
      <c r="A96" s="24"/>
      <c r="B96" s="23"/>
      <c r="C96" s="23" t="s">
        <v>164</v>
      </c>
      <c r="D96" s="24"/>
      <c r="E96" s="24"/>
      <c r="F96" s="24"/>
      <c r="G96" s="31">
        <f>IF('1. Required Start-Up Funds'!$M$44&lt;=1,ABS(PPMT($E$90/12,1,$E$91,$E$89)),0)</f>
        <v>0</v>
      </c>
      <c r="H96" s="31">
        <f>IF('1. Required Start-Up Funds'!$M$44&lt;=1,ABS(PPMT($E$90/12,2,$E$91,$E$89)),0)</f>
        <v>0</v>
      </c>
      <c r="I96" s="31">
        <f>IF('1. Required Start-Up Funds'!$M$44&lt;=1,ABS(PPMT($E$90/12,3,$E$91,$E$89)),0)</f>
        <v>0</v>
      </c>
      <c r="J96" s="31">
        <f>IF('1. Required Start-Up Funds'!$M$44&lt;=1,ABS(PPMT($E$90/12,4,$E$91,$E$89)),0)</f>
        <v>0</v>
      </c>
      <c r="K96" s="31">
        <f>IF('1. Required Start-Up Funds'!$M$44&lt;=1,ABS(PPMT($E$90/12,5,$E$91,$E$89)),0)</f>
        <v>0</v>
      </c>
      <c r="L96" s="31">
        <f>IF('1. Required Start-Up Funds'!$M$44&lt;=1,ABS(PPMT($E$90/12,6,$E$91,$E$89)),0)</f>
        <v>0</v>
      </c>
      <c r="M96" s="31">
        <f>IF('1. Required Start-Up Funds'!$M$44&lt;=1,ABS(PPMT($E$90/12,7,$E$91,$E$89)),0)</f>
        <v>0</v>
      </c>
      <c r="N96" s="31">
        <f>IF('1. Required Start-Up Funds'!$M$44&lt;=1,ABS(PPMT($E$90/12,8,$E$91,$E$89)),0)</f>
        <v>0</v>
      </c>
      <c r="O96" s="31">
        <f>IF('1. Required Start-Up Funds'!$M$44&lt;=1,ABS(PPMT($E$90/12,9,$E$91,$E$89)),0)</f>
        <v>0</v>
      </c>
      <c r="P96" s="31">
        <f>IF('1. Required Start-Up Funds'!$M$44&lt;=1,ABS(PPMT($E$90/12,10,$E$91,$E$89)),0)</f>
        <v>0</v>
      </c>
      <c r="Q96" s="31">
        <f>IF('1. Required Start-Up Funds'!$M$44&lt;=1,ABS(PPMT($E$90/12,11,$E$91,$E$89)),0)</f>
        <v>0</v>
      </c>
      <c r="R96" s="31">
        <f>IF('1. Required Start-Up Funds'!$M$44&lt;=1,ABS(PPMT($E$90/12,12,$E$91,$E$89)),0)</f>
        <v>0</v>
      </c>
      <c r="S96" s="31">
        <f>SUM(G96:R96)</f>
        <v>0</v>
      </c>
    </row>
    <row r="97" spans="1:19">
      <c r="A97" s="24"/>
      <c r="B97" s="23"/>
      <c r="C97" s="23" t="s">
        <v>166</v>
      </c>
      <c r="D97" s="24"/>
      <c r="E97" s="24"/>
      <c r="F97" s="24"/>
      <c r="G97" s="31">
        <f>E89-G96</f>
        <v>0</v>
      </c>
      <c r="H97" s="70">
        <f t="shared" ref="H97:R97" si="14">G97-H96</f>
        <v>0</v>
      </c>
      <c r="I97" s="70">
        <f t="shared" si="14"/>
        <v>0</v>
      </c>
      <c r="J97" s="70">
        <f t="shared" si="14"/>
        <v>0</v>
      </c>
      <c r="K97" s="70">
        <f t="shared" si="14"/>
        <v>0</v>
      </c>
      <c r="L97" s="70">
        <f t="shared" si="14"/>
        <v>0</v>
      </c>
      <c r="M97" s="70">
        <f t="shared" si="14"/>
        <v>0</v>
      </c>
      <c r="N97" s="70">
        <f t="shared" si="14"/>
        <v>0</v>
      </c>
      <c r="O97" s="70">
        <f t="shared" si="14"/>
        <v>0</v>
      </c>
      <c r="P97" s="70">
        <f t="shared" si="14"/>
        <v>0</v>
      </c>
      <c r="Q97" s="70">
        <f t="shared" si="14"/>
        <v>0</v>
      </c>
      <c r="R97" s="70">
        <f t="shared" si="14"/>
        <v>0</v>
      </c>
      <c r="S97" s="70"/>
    </row>
    <row r="98" spans="1:19">
      <c r="A98" s="24"/>
      <c r="B98" s="23" t="s">
        <v>293</v>
      </c>
      <c r="C98" s="23"/>
      <c r="D98" s="24"/>
      <c r="E98" s="24"/>
      <c r="F98" s="24"/>
      <c r="G98" s="24"/>
      <c r="H98" s="24"/>
      <c r="I98" s="24"/>
      <c r="J98" s="24"/>
      <c r="K98" s="24"/>
      <c r="L98" s="24"/>
      <c r="M98" s="24"/>
      <c r="N98" s="24"/>
      <c r="O98" s="24"/>
      <c r="P98" s="24"/>
      <c r="Q98" s="24"/>
      <c r="R98" s="24"/>
      <c r="S98" s="24"/>
    </row>
    <row r="99" spans="1:19">
      <c r="A99" s="24"/>
      <c r="B99" s="23"/>
      <c r="C99" s="23" t="s">
        <v>326</v>
      </c>
      <c r="D99" s="24"/>
      <c r="E99" s="24"/>
      <c r="F99" s="24"/>
      <c r="G99" s="31">
        <f>IF($E91&gt;12,IF('1. Required Start-Up Funds'!$M$44&lt;=1,ABS(IPMT($E90/12,13,$E91,$E89)),IF('1. Required Start-Up Funds'!$M$44=2,ABS(IPMT($E90/12,1,$E91,$E89)),$E89*$E90/12)),0)</f>
        <v>0</v>
      </c>
      <c r="H99" s="31">
        <f>IF($E91&gt;13,IF('1. Required Start-Up Funds'!$M$44&lt;=1,ABS(IPMT($E90/12,14,$E91,$E89)),IF('1. Required Start-Up Funds'!$M$44=2,ABS(IPMT($E90/12,2,$E91,$E89)),$E89*$E90/12)),0)</f>
        <v>0</v>
      </c>
      <c r="I99" s="31">
        <f>IF($E91&gt;14,IF('1. Required Start-Up Funds'!$M$44&lt;=1,ABS(IPMT($E90/12,15,$E91,$E89)),IF('1. Required Start-Up Funds'!$M$44=2,ABS(IPMT($E90/12,3,$E91,$E89)),$E89*$E90/12)),0)</f>
        <v>0</v>
      </c>
      <c r="J99" s="31">
        <f>IF($E91&gt;15,IF('1. Required Start-Up Funds'!$M$44&lt;=1,ABS(IPMT($E90/12,16,$E91,$E89)),IF('1. Required Start-Up Funds'!$M$44=2,ABS(IPMT($E90/12,4,$E91,$E89)),$E89*$E90/12)),0)</f>
        <v>0</v>
      </c>
      <c r="K99" s="31">
        <f>IF($E91&gt;16,IF('1. Required Start-Up Funds'!$M$44&lt;=1,ABS(IPMT($E90/12,17,$E91,$E89)),IF('1. Required Start-Up Funds'!$M$44=2,ABS(IPMT($E90/12,5,$E91,$E89)),$E89*$E90/12)),0)</f>
        <v>0</v>
      </c>
      <c r="L99" s="31">
        <f>IF($E91&gt;17,IF('1. Required Start-Up Funds'!$M$44&lt;=1,ABS(IPMT($E90/12,18,$E91,$E89)),IF('1. Required Start-Up Funds'!$M$44=2,ABS(IPMT($E90/12,6,$E91,$E89)),$E89*$E90/12)),0)</f>
        <v>0</v>
      </c>
      <c r="M99" s="31">
        <f>IF($E91&gt;18,IF('1. Required Start-Up Funds'!$M$44&lt;=1,ABS(IPMT($E90/12,19,$E91,$E89)),IF('1. Required Start-Up Funds'!$M$44=2,ABS(IPMT($E90/12,7,$E91,$E89)),$E89*$E90/12)),0)</f>
        <v>0</v>
      </c>
      <c r="N99" s="31">
        <f>IF($E91&gt;19,IF('1. Required Start-Up Funds'!$M$44&lt;=1,ABS(IPMT($E90/12,20,$E91,$E89)),IF('1. Required Start-Up Funds'!$M$44=2,ABS(IPMT($E90/12,8,$E91,$E89)),$E89*$E90/12)),0)</f>
        <v>0</v>
      </c>
      <c r="O99" s="31">
        <f>IF($E91&gt;20,IF('1. Required Start-Up Funds'!$M$44&lt;=1,ABS(IPMT($E90/12,21,$E91,$E89)),IF('1. Required Start-Up Funds'!$M$44=2,ABS(IPMT($E90/12,9,$E91,$E89)),$E89*$E90/12)),0)</f>
        <v>0</v>
      </c>
      <c r="P99" s="31">
        <f>IF($E91&gt;21,IF('1. Required Start-Up Funds'!$M$44&lt;=1,ABS(IPMT($E90/12,22,$E91,$E89)),IF('1. Required Start-Up Funds'!$M$44=2,ABS(IPMT($E90/12,10,$E91,$E89)),$E89*$E90/12)),0)</f>
        <v>0</v>
      </c>
      <c r="Q99" s="31">
        <f>IF($E91&gt;22,IF('1. Required Start-Up Funds'!$M$44&lt;=1,ABS(IPMT($E90/12,23,$E91,$E89)),IF('1. Required Start-Up Funds'!$M$44=2,ABS(IPMT($E90/12,11,$E91,$E89)),$E89*$E90/12)),0)</f>
        <v>0</v>
      </c>
      <c r="R99" s="31">
        <f>IF($E91&gt;23,IF('1. Required Start-Up Funds'!$M$44&lt;=1,ABS(IPMT($E90/12,24,$E91,$E89)),IF('1. Required Start-Up Funds'!$M$44=2,ABS(IPMT($E90/12,12,$E91,$E89)),$E89*$E90/12)),0)</f>
        <v>0</v>
      </c>
      <c r="S99" s="31">
        <f>SUM(G99:R99)</f>
        <v>0</v>
      </c>
    </row>
    <row r="100" spans="1:19">
      <c r="A100" s="24"/>
      <c r="B100" s="23"/>
      <c r="C100" s="23" t="s">
        <v>164</v>
      </c>
      <c r="D100" s="24"/>
      <c r="E100" s="24"/>
      <c r="F100" s="24"/>
      <c r="G100" s="31">
        <f>IF($E91&gt;12,IF('1. Required Start-Up Funds'!$M$44&lt;=1,ABS(PPMT($E90/12,13,$E91,$E89)),IF('1. Required Start-Up Funds'!$M$44=2,ABS(PPMT($E90/12,1,$E91,$E89)),0)),0)</f>
        <v>0</v>
      </c>
      <c r="H100" s="31">
        <f>IF($E91&gt;13,IF('1. Required Start-Up Funds'!$M$44&lt;=1,ABS(PPMT($E90/12,14,$E91,$E89)),IF('1. Required Start-Up Funds'!$M44=2,ABS(PPMT($E90/12,2,$E91,$E89)),0)),0)</f>
        <v>0</v>
      </c>
      <c r="I100" s="31">
        <f>IF($E91&gt;14,IF('1. Required Start-Up Funds'!$M$44&lt;=1,ABS(PPMT($E90/12,15,$E91,$E89)),IF('1. Required Start-Up Funds'!$M$44=2,ABS(PPMT($E90/12,3,$E91,$E89)),0)),0)</f>
        <v>0</v>
      </c>
      <c r="J100" s="31">
        <f>IF($E91&gt;15,IF('1. Required Start-Up Funds'!$M$44&lt;=1,ABS(PPMT($E90/12,16,$E91,$E89)),IF('1. Required Start-Up Funds'!$M$44=2,ABS(PPMT($E90/12,4,$E91,$E89)),0)),0)</f>
        <v>0</v>
      </c>
      <c r="K100" s="31">
        <f>IF($E91&gt;16,IF('1. Required Start-Up Funds'!$M$44&lt;=1,ABS(PPMT($E90/12,17,$E91,$E89)),IF('1. Required Start-Up Funds'!$M$44=2,ABS(PPMT($E90/12,5,$E91,$E89)),0)),0)</f>
        <v>0</v>
      </c>
      <c r="L100" s="31">
        <f>IF($E91&gt;17,IF('1. Required Start-Up Funds'!$M$44&lt;=1,ABS(PPMT($E90/12,18,$E91,$E89)),IF('1. Required Start-Up Funds'!$M$44=2,ABS(PPMT($E90/12,6,$E91,$E89)),0)),0)</f>
        <v>0</v>
      </c>
      <c r="M100" s="31">
        <f>IF($E91&gt;18,IF('1. Required Start-Up Funds'!$M$44&lt;=1,ABS(PPMT($E90/12,19,$E91,$E89)),IF('1. Required Start-Up Funds'!$M$44=2,ABS(PPMT($E90/12,7,$E91,$E89)),0)),0)</f>
        <v>0</v>
      </c>
      <c r="N100" s="31">
        <f>IF($E91&gt;19,IF('1. Required Start-Up Funds'!$M$44&lt;=1,ABS(PPMT($E90/12,20,$E91,$E89)),IF('1. Required Start-Up Funds'!$M$44=2,ABS(PPMT($E90/12,8,$E91,$E89)),0)),0)</f>
        <v>0</v>
      </c>
      <c r="O100" s="31">
        <f>IF($E91&gt;20,IF('1. Required Start-Up Funds'!$M$44&lt;=1,ABS(PPMT($E90/12,21,$E91,$E89)),IF('1. Required Start-Up Funds'!$M$44=2,ABS(PPMT($E90/12,9,$E91,$E89)),0)),0)</f>
        <v>0</v>
      </c>
      <c r="P100" s="31">
        <f>IF($E91&gt;21,IF('1. Required Start-Up Funds'!$M$44&lt;=1,ABS(PPMT($E90/12,22,$E91,$E89)),IF('1. Required Start-Up Funds'!$M$44=2,ABS(PPMT($E90/12,10,$E91,$E89)),0)),0)</f>
        <v>0</v>
      </c>
      <c r="Q100" s="31">
        <f>IF($E91&gt;22,IF('1. Required Start-Up Funds'!$M$44&lt;=1,ABS(PPMT($E90/12,23,$E91,$E89)),IF('1. Required Start-Up Funds'!$M$44=2,ABS(PPMT($E90/12,11,$E91,$E89)),0)),0)</f>
        <v>0</v>
      </c>
      <c r="R100" s="31">
        <f>IF($E91&gt;23,IF('1. Required Start-Up Funds'!$M$44&lt;=1,ABS(PPMT($E90/12,24,$E91,$E89)),IF('1. Required Start-Up Funds'!$M$44=2,ABS(PPMT($E90/12,12,$E91,$E89)),0)),0)</f>
        <v>0</v>
      </c>
      <c r="S100" s="31">
        <f>SUM(G100:R100)</f>
        <v>0</v>
      </c>
    </row>
    <row r="101" spans="1:19">
      <c r="A101" s="24"/>
      <c r="B101" s="23"/>
      <c r="C101" s="23" t="s">
        <v>166</v>
      </c>
      <c r="D101" s="24"/>
      <c r="E101" s="24"/>
      <c r="F101" s="24"/>
      <c r="G101" s="70">
        <f>R97-G100</f>
        <v>0</v>
      </c>
      <c r="H101" s="93">
        <f t="shared" ref="H101:R101" si="15">G101-H100</f>
        <v>0</v>
      </c>
      <c r="I101" s="93">
        <f t="shared" si="15"/>
        <v>0</v>
      </c>
      <c r="J101" s="93">
        <f t="shared" si="15"/>
        <v>0</v>
      </c>
      <c r="K101" s="93">
        <f t="shared" si="15"/>
        <v>0</v>
      </c>
      <c r="L101" s="93">
        <f t="shared" si="15"/>
        <v>0</v>
      </c>
      <c r="M101" s="93">
        <f t="shared" si="15"/>
        <v>0</v>
      </c>
      <c r="N101" s="93">
        <f t="shared" si="15"/>
        <v>0</v>
      </c>
      <c r="O101" s="93">
        <f t="shared" si="15"/>
        <v>0</v>
      </c>
      <c r="P101" s="93">
        <f t="shared" si="15"/>
        <v>0</v>
      </c>
      <c r="Q101" s="93">
        <f t="shared" si="15"/>
        <v>0</v>
      </c>
      <c r="R101" s="93">
        <f t="shared" si="15"/>
        <v>0</v>
      </c>
      <c r="S101" s="24"/>
    </row>
    <row r="102" spans="1:19">
      <c r="A102" s="24"/>
      <c r="B102" s="23" t="s">
        <v>284</v>
      </c>
      <c r="C102" s="23"/>
      <c r="D102" s="24"/>
      <c r="E102" s="24"/>
      <c r="F102" s="24"/>
      <c r="G102" s="24"/>
      <c r="H102" s="24"/>
      <c r="I102" s="24"/>
      <c r="J102" s="24"/>
      <c r="K102" s="24"/>
      <c r="L102" s="24"/>
      <c r="M102" s="24"/>
      <c r="N102" s="24"/>
      <c r="O102" s="24"/>
      <c r="P102" s="24"/>
      <c r="Q102" s="24"/>
      <c r="R102" s="24"/>
      <c r="S102" s="24"/>
    </row>
    <row r="103" spans="1:19">
      <c r="A103" s="24"/>
      <c r="B103" s="23"/>
      <c r="C103" s="23" t="s">
        <v>326</v>
      </c>
      <c r="D103" s="24"/>
      <c r="E103" s="24"/>
      <c r="F103" s="24"/>
      <c r="G103" s="31">
        <f>IF($E91&gt;24,IF('1. Required Start-Up Funds'!$M$44&lt;=1,ABS(IPMT($E90/12,25,$E91,$E89)),IF('1. Required Start-Up Funds'!$M$44=2,ABS(IPMT($E90/12,13,$E91,$E89)),ABS(IPMT($E90/12,1,$E91,$E89)))),0)</f>
        <v>0</v>
      </c>
      <c r="H103" s="31">
        <f>IF($E91&gt;25,IF('1. Required Start-Up Funds'!$M$44&lt;=1,ABS(IPMT($E90/12,26,$E91,$E89)),IF('1. Required Start-Up Funds'!$M$44=2,ABS(IPMT($E90/12,14,$E91,$E89)),ABS(IPMT($E90/12,2,$E91,$E89)))),0)</f>
        <v>0</v>
      </c>
      <c r="I103" s="31">
        <f>IF($E91&gt;26,IF('1. Required Start-Up Funds'!$M$44&lt;=1,ABS(IPMT($E90/12,27,$E91,$E89)),IF('1. Required Start-Up Funds'!$M$44=2,ABS(IPMT($E90/12,15,$E91,$E89)),ABS(IPMT($E90/12,3,$E91,$E89)))),0)</f>
        <v>0</v>
      </c>
      <c r="J103" s="31">
        <f>IF($E91&gt;27,IF('1. Required Start-Up Funds'!$M$44&lt;=1,ABS(IPMT($E90/12,28,$E91,$E89)),IF('1. Required Start-Up Funds'!$M$44=2,ABS(IPMT($E90/12,16,$E91,$E89)),ABS(IPMT($E90/12,4,$E91,$E89)))),0)</f>
        <v>0</v>
      </c>
      <c r="K103" s="31">
        <f>IF($E91&gt;28,IF('1. Required Start-Up Funds'!$M$44&lt;=1,ABS(IPMT($E90/12,29,$E91,$E89)),IF('1. Required Start-Up Funds'!$M$44=2,ABS(IPMT($E90/12,17,$E91,$E89)),ABS(IPMT(E$90/12,5,$E91,$E89)))),0)</f>
        <v>0</v>
      </c>
      <c r="L103" s="31">
        <f>IF($E91&gt;29,IF('1. Required Start-Up Funds'!$M$44&lt;=1,ABS(IPMT($E90/12,30,$E91,$E89)),IF('1. Required Start-Up Funds'!$M$44=2,ABS(IPMT($E90/12,18,$E91,$E89)),ABS(IPMT($E90/12,6,$E91,$E89)))),0)</f>
        <v>0</v>
      </c>
      <c r="M103" s="31">
        <f>IF($E91&gt;30,IF('1. Required Start-Up Funds'!$M$44&lt;=1,ABS(IPMT($E90/12,31,$E91,$E89)),IF('1. Required Start-Up Funds'!$M$44=2,ABS(IPMT($E90/12,19,$E91,$E89)),ABS(IPMT($E90/12,7,$E91,$E89)))),0)</f>
        <v>0</v>
      </c>
      <c r="N103" s="31">
        <f>IF($E91&gt;31,IF('1. Required Start-Up Funds'!$M$44&lt;=1,ABS(IPMT($E90/12,32,$E91,$E89)),IF('1. Required Start-Up Funds'!$M$44=2,ABS(IPMT($E90/12,20,$E91,$E89)),ABS(IPMT($E90/12,8,$E91,$E89)))),0)</f>
        <v>0</v>
      </c>
      <c r="O103" s="31">
        <f>IF($E91&gt;32,IF('1. Required Start-Up Funds'!$M$44&lt;=1,ABS(IPMT($E90/12,33,$E91,$E89)),IF('1. Required Start-Up Funds'!$M$44=2,ABS(IPMT($E90/12,21,$E91,$E89)),ABS(IPMT($E90/12,9,$E91,$E89)))),0)</f>
        <v>0</v>
      </c>
      <c r="P103" s="31">
        <f>IF($E91&gt;33,IF('1. Required Start-Up Funds'!$M$44&lt;=1,ABS(IPMT($E90/12,34,$E91,$E89)),IF('1. Required Start-Up Funds'!$M$44=2,ABS(IPMT($E90/12,22,$E91,$E89)),ABS(IPMT($E90/12,10,$E91,$E89)))),0)</f>
        <v>0</v>
      </c>
      <c r="Q103" s="31">
        <f>IF($E91&gt;34,IF('1. Required Start-Up Funds'!$M$44&lt;=1,ABS(IPMT($E90/12,35,$E91,$E89)),IF('1. Required Start-Up Funds'!$M44=2,ABS(IPMT($E90/12,23,$E91,$E89)),ABS(IPMT($E90/12,11,$E91,$E89)))),0)</f>
        <v>0</v>
      </c>
      <c r="R103" s="31">
        <f>IF($E91&gt;35,IF('1. Required Start-Up Funds'!$M$44&lt;=1,ABS(IPMT($E90/12,36,$E91,$E89)),IF('1. Required Start-Up Funds'!$M$44=2,ABS(IPMT($E90/12,24,$E91,$E89)),ABS(IPMT($E90/12,12,$E91,$E89)))),0)</f>
        <v>0</v>
      </c>
      <c r="S103" s="31">
        <f>SUM(G103:R103)</f>
        <v>0</v>
      </c>
    </row>
    <row r="104" spans="1:19">
      <c r="A104" s="24"/>
      <c r="B104" s="23"/>
      <c r="C104" s="23" t="s">
        <v>164</v>
      </c>
      <c r="D104" s="24"/>
      <c r="E104" s="24"/>
      <c r="F104" s="24"/>
      <c r="G104" s="31">
        <f>IF($E91&gt;24,IF('1. Required Start-Up Funds'!$M$44&lt;=1,ABS(PPMT($E90/12,25,$E91,$E89)),IF('1. Required Start-Up Funds'!$M$44=2,ABS(PPMT($E90/12,13,$E91,$E89)),ABS(PPMT($E90/12,1,$E91,$E89)))),0)</f>
        <v>0</v>
      </c>
      <c r="H104" s="31">
        <f>IF($E91&gt;25,IF('1. Required Start-Up Funds'!$M$44&lt;=1,ABS(PPMT($E90/12,26,$E91,$E89)),IF('1. Required Start-Up Funds'!$M$44=2,ABS(PPMT($E90/12,14,$E91,$E89)),ABS(PPMT($E90/12,2,$E91,$E89)))),0)</f>
        <v>0</v>
      </c>
      <c r="I104" s="31">
        <f>IF($E91&gt;26,IF('1. Required Start-Up Funds'!$M$44&lt;=1,ABS(PPMT($E90/12,27,$E91,$E89)),IF('1. Required Start-Up Funds'!$M$44=2,ABS(PPMT($E90/12,15,$E91,$E89)),ABS(PPMT($E90/12,3,$E91,$E89)))),0)</f>
        <v>0</v>
      </c>
      <c r="J104" s="31">
        <f>IF($E91&gt;27,IF('1. Required Start-Up Funds'!$M$44&lt;=1,ABS(PPMT($E90/12,28,$E91,$E89)),IF('1. Required Start-Up Funds'!$M$44=2,ABS(PPMT($E90/12,16,$E91,$E89)),ABS(PPMT($E90/12,4,$E91,$E89)))),0)</f>
        <v>0</v>
      </c>
      <c r="K104" s="31">
        <f>IF($E91&gt;28,IF('1. Required Start-Up Funds'!$M$44&lt;=1,ABS(PPMT($E90/12,29,$E91,$E89)),IF('1. Required Start-Up Funds'!$M$44=2,ABS(PPMT($E90/12,17,$E91,$E89)),ABS(PPMT($E90/12,5,$E91,$E89)))),0)</f>
        <v>0</v>
      </c>
      <c r="L104" s="31">
        <f>IF($E91&gt;29,IF('1. Required Start-Up Funds'!$M$44&lt;=1,ABS(PPMT($E90/12,30,$E91,$E89)),IF('1. Required Start-Up Funds'!$M$44=2,ABS(PPMT($E90/12,18,$E91,$E89)),ABS(PPMT($E90/12,6,$E91,$E89)))),0)</f>
        <v>0</v>
      </c>
      <c r="M104" s="31">
        <f>IF($E91&gt;30,IF('1. Required Start-Up Funds'!$M$44&lt;=1,ABS(PPMT($E90/12,31,$E91,$E89)),IF('1. Required Start-Up Funds'!$M$44=2,ABS(PPMT($E90/12,19,$E91,$E89)),ABS(PPMT($E90/12,7,$E91,$E89)))),0)</f>
        <v>0</v>
      </c>
      <c r="N104" s="31">
        <f>IF($E91&gt;31,IF('1. Required Start-Up Funds'!$M$44&lt;=1,ABS(PPMT($E90/12,32,$E91,$E89)),IF('1. Required Start-Up Funds'!$M$44=2,ABS(PPMT($E90/12,20,$E91,$E89)),ABS(PPMT($E90/12,8,$E91,$E89)))),0)</f>
        <v>0</v>
      </c>
      <c r="O104" s="31">
        <f>IF($E91&gt;32,IF('1. Required Start-Up Funds'!$M$44&lt;=1,ABS(PPMT($E90/12,33,$E91,$E89)),IF('1. Required Start-Up Funds'!$M$44=2,ABS(PPMT($E90/12,21,$E91,$E89)),ABS(PPMT($E90/12,9,$E91,$E89)))),0)</f>
        <v>0</v>
      </c>
      <c r="P104" s="31">
        <f>IF($E91&gt;33,IF('1. Required Start-Up Funds'!$M$44&lt;=1,ABS(PPMT($E90/12,34,$E91,$E89)),IF('1. Required Start-Up Funds'!$M$44=2,ABS(PPMT($E90/12,22,$E91,$E89)),ABS(PPMT($E90/12,10,$E91,$E89)))),0)</f>
        <v>0</v>
      </c>
      <c r="Q104" s="31">
        <f>IF($E91&gt;34,IF('1. Required Start-Up Funds'!$M$44&lt;=1,ABS(PPMT($E90/12,35,$E91,$E89)),IF('1. Required Start-Up Funds'!$M$44=2,ABS(PPMT($E90/12,23,$E91,$E89)),ABS(PPMT($E90/12,11,$E91,$E89)))),0)</f>
        <v>0</v>
      </c>
      <c r="R104" s="31">
        <f>IF($E91&gt;35,IF('1. Required Start-Up Funds'!$M$44&lt;=1,ABS(PPMT($E90/12,36,$E91,$E89)),IF('1. Required Start-Up Funds'!$M$44=2,ABS(PPMT($E90/12,24,$E91,$E89)),ABS(PPMT($E90/12,12,$E91,$E89)))),0)</f>
        <v>0</v>
      </c>
      <c r="S104" s="31">
        <f>SUM(G104:R104)</f>
        <v>0</v>
      </c>
    </row>
    <row r="105" spans="1:19">
      <c r="A105" s="24"/>
      <c r="B105" s="23"/>
      <c r="C105" s="23" t="s">
        <v>166</v>
      </c>
      <c r="D105" s="24"/>
      <c r="E105" s="24"/>
      <c r="F105" s="24"/>
      <c r="G105" s="70">
        <f>R101-G104</f>
        <v>0</v>
      </c>
      <c r="H105" s="70">
        <f t="shared" ref="H105:R105" si="16">G105-H104</f>
        <v>0</v>
      </c>
      <c r="I105" s="70">
        <f t="shared" si="16"/>
        <v>0</v>
      </c>
      <c r="J105" s="70">
        <f t="shared" si="16"/>
        <v>0</v>
      </c>
      <c r="K105" s="70">
        <f t="shared" si="16"/>
        <v>0</v>
      </c>
      <c r="L105" s="70">
        <f t="shared" si="16"/>
        <v>0</v>
      </c>
      <c r="M105" s="70">
        <f t="shared" si="16"/>
        <v>0</v>
      </c>
      <c r="N105" s="70">
        <f t="shared" si="16"/>
        <v>0</v>
      </c>
      <c r="O105" s="70">
        <f t="shared" si="16"/>
        <v>0</v>
      </c>
      <c r="P105" s="70">
        <f t="shared" si="16"/>
        <v>0</v>
      </c>
      <c r="Q105" s="70">
        <f t="shared" si="16"/>
        <v>0</v>
      </c>
      <c r="R105" s="70">
        <f t="shared" si="16"/>
        <v>0</v>
      </c>
      <c r="S105" s="24"/>
    </row>
  </sheetData>
  <phoneticPr fontId="4" type="noConversion"/>
  <pageMargins left="0.75" right="0.75" top="1" bottom="1" header="0.5" footer="0.5"/>
  <pageSetup scale="75" orientation="landscape" horizontalDpi="300" verticalDpi="300"/>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78"/>
  <sheetViews>
    <sheetView showGridLines="0" showRowColHeaders="0" workbookViewId="0">
      <selection activeCell="G17" sqref="G17"/>
    </sheetView>
  </sheetViews>
  <sheetFormatPr defaultColWidth="8.85546875" defaultRowHeight="12"/>
  <cols>
    <col min="1" max="4" width="3" style="1" customWidth="1"/>
    <col min="5" max="5" width="20.85546875" customWidth="1"/>
    <col min="6" max="6" width="15.85546875" customWidth="1"/>
    <col min="7" max="7" width="18.85546875" customWidth="1"/>
    <col min="8" max="8" width="8.85546875" style="16" customWidth="1"/>
    <col min="9" max="11" width="18.85546875" customWidth="1"/>
    <col min="12" max="12" width="5.85546875" customWidth="1"/>
  </cols>
  <sheetData>
    <row r="1" spans="1:18" ht="15.75">
      <c r="A1" s="5" t="str">
        <f>'1. Required Start-Up Funds'!A1</f>
        <v xml:space="preserve"> </v>
      </c>
      <c r="Q1" s="12"/>
    </row>
    <row r="2" spans="1:18" ht="15.75">
      <c r="A2" s="5" t="s">
        <v>147</v>
      </c>
    </row>
    <row r="3" spans="1:18" ht="12.75" customHeight="1">
      <c r="E3" s="1"/>
      <c r="F3" s="37"/>
      <c r="G3" s="37"/>
      <c r="H3" s="43"/>
      <c r="I3" s="37"/>
      <c r="J3" s="37"/>
      <c r="K3" s="37"/>
      <c r="L3" s="37"/>
      <c r="M3" s="37"/>
      <c r="N3" s="37"/>
      <c r="O3" s="37"/>
      <c r="P3" s="37"/>
      <c r="Q3" s="37"/>
    </row>
    <row r="4" spans="1:18" ht="12.75" customHeight="1">
      <c r="E4" s="37"/>
      <c r="F4" s="37"/>
      <c r="G4" s="37"/>
      <c r="H4" s="43"/>
      <c r="I4" s="37"/>
      <c r="J4" s="37"/>
      <c r="K4" s="37"/>
      <c r="L4" s="37"/>
      <c r="M4" s="37"/>
      <c r="N4" s="37"/>
      <c r="O4" s="37"/>
      <c r="P4" s="37"/>
      <c r="Q4" s="37"/>
    </row>
    <row r="5" spans="1:18" ht="12.75" customHeight="1">
      <c r="E5" s="37"/>
      <c r="F5" s="37"/>
      <c r="G5" s="37"/>
      <c r="H5" s="43"/>
      <c r="I5" s="37"/>
      <c r="J5" s="37"/>
      <c r="K5" s="37"/>
      <c r="L5" s="37"/>
      <c r="M5" s="37"/>
      <c r="N5" s="37"/>
      <c r="O5" s="37"/>
      <c r="P5" s="37"/>
      <c r="Q5" s="37"/>
    </row>
    <row r="6" spans="1:18" ht="12.75" customHeight="1">
      <c r="A6" s="103" t="s">
        <v>161</v>
      </c>
      <c r="E6" s="37"/>
      <c r="F6" s="37"/>
      <c r="G6" s="37"/>
      <c r="H6" s="43"/>
      <c r="I6" s="37"/>
      <c r="J6" s="37"/>
      <c r="K6" s="37"/>
      <c r="L6" s="37"/>
      <c r="M6" s="37"/>
      <c r="N6" s="37"/>
      <c r="O6" s="37"/>
      <c r="P6" s="37"/>
      <c r="Q6" s="37"/>
    </row>
    <row r="7" spans="1:18" ht="12.75" customHeight="1">
      <c r="A7" s="103" t="s">
        <v>75</v>
      </c>
      <c r="E7" s="37"/>
      <c r="F7" s="37"/>
      <c r="G7" s="37"/>
      <c r="H7" s="43"/>
      <c r="I7" s="37"/>
      <c r="J7" s="37"/>
      <c r="K7" s="37"/>
      <c r="L7" s="37"/>
      <c r="M7" s="37"/>
      <c r="N7" s="37"/>
      <c r="O7" s="37"/>
      <c r="P7" s="37"/>
      <c r="Q7" s="37"/>
    </row>
    <row r="8" spans="1:18" ht="12.75" customHeight="1">
      <c r="A8" s="103" t="s">
        <v>76</v>
      </c>
      <c r="E8" s="37"/>
      <c r="F8" s="37"/>
      <c r="G8" s="37"/>
      <c r="H8" s="43"/>
      <c r="I8" s="37"/>
      <c r="J8" s="37"/>
      <c r="K8" s="37"/>
      <c r="L8" s="37"/>
      <c r="M8" s="37"/>
      <c r="N8" s="37"/>
      <c r="O8" s="37"/>
      <c r="P8" s="37"/>
      <c r="Q8" s="37"/>
    </row>
    <row r="9" spans="1:18" ht="12.75" customHeight="1">
      <c r="E9" s="37"/>
      <c r="F9" s="37"/>
      <c r="G9" s="37"/>
      <c r="H9" s="43"/>
      <c r="I9" s="37"/>
      <c r="J9" s="37"/>
      <c r="K9" s="37"/>
      <c r="L9" s="37"/>
      <c r="M9" s="37"/>
      <c r="N9" s="37"/>
      <c r="O9" s="37"/>
      <c r="P9" s="37"/>
      <c r="Q9" s="37"/>
    </row>
    <row r="10" spans="1:18" ht="12.75" customHeight="1">
      <c r="E10" s="37"/>
      <c r="F10" s="37"/>
      <c r="G10" s="37"/>
      <c r="H10" s="43"/>
      <c r="I10" s="37"/>
      <c r="J10" s="37"/>
      <c r="K10" s="37"/>
      <c r="L10" s="37"/>
      <c r="M10" s="37"/>
      <c r="N10" s="37"/>
      <c r="O10" s="37"/>
      <c r="P10" s="37"/>
      <c r="Q10" s="37"/>
    </row>
    <row r="11" spans="1:18" ht="12.75" customHeight="1">
      <c r="A11" s="20" t="s">
        <v>147</v>
      </c>
      <c r="B11" s="20"/>
      <c r="C11" s="20"/>
      <c r="D11" s="20"/>
      <c r="E11" s="43"/>
      <c r="F11" s="41"/>
      <c r="G11" s="41" t="s">
        <v>148</v>
      </c>
      <c r="H11" s="41"/>
      <c r="I11" s="98" t="s">
        <v>149</v>
      </c>
      <c r="J11" s="41"/>
      <c r="K11" s="41"/>
      <c r="L11" s="43"/>
      <c r="M11" s="41"/>
      <c r="N11" s="43"/>
      <c r="O11" s="43"/>
      <c r="P11" s="43"/>
      <c r="Q11" s="43"/>
      <c r="R11" s="16"/>
    </row>
    <row r="12" spans="1:18" ht="12.75" customHeight="1">
      <c r="A12" s="20"/>
      <c r="B12" s="1" t="s">
        <v>150</v>
      </c>
      <c r="C12" s="20"/>
      <c r="D12" s="20"/>
      <c r="E12" s="43"/>
      <c r="F12" s="43"/>
      <c r="G12" s="44"/>
      <c r="H12" s="43"/>
      <c r="I12" s="80"/>
      <c r="J12" s="43"/>
      <c r="K12" s="43"/>
      <c r="L12" s="43"/>
      <c r="M12" s="43"/>
      <c r="N12" s="43"/>
      <c r="O12" s="43"/>
      <c r="P12" s="43"/>
      <c r="Q12" s="43"/>
      <c r="R12" s="16"/>
    </row>
    <row r="13" spans="1:18" ht="12.75" customHeight="1">
      <c r="A13" s="20"/>
      <c r="C13" s="20" t="s">
        <v>151</v>
      </c>
      <c r="D13" s="20"/>
      <c r="E13" s="43"/>
      <c r="F13" s="43"/>
      <c r="G13" s="146">
        <f>IF('1. Required Start-Up Funds'!I50=0,0,'1. Required Start-Up Funds'!I41/'1. Required Start-Up Funds'!I50)</f>
        <v>0</v>
      </c>
      <c r="H13" s="43"/>
      <c r="I13" s="99" t="str">
        <f>IF(G13&gt;0.2,"Owner's injection is reasonable","Owner's injection might be too low in relation to the amount of money needed")</f>
        <v>Owner's injection might be too low in relation to the amount of money needed</v>
      </c>
      <c r="J13" s="80"/>
      <c r="K13" s="80"/>
      <c r="L13" s="43"/>
      <c r="M13" s="43"/>
      <c r="N13" s="43"/>
      <c r="O13" s="43"/>
      <c r="P13" s="43"/>
      <c r="Q13" s="43"/>
      <c r="R13" s="16"/>
    </row>
    <row r="14" spans="1:18" ht="12.75" customHeight="1">
      <c r="A14" s="20"/>
      <c r="B14" s="20"/>
      <c r="C14" s="20" t="s">
        <v>152</v>
      </c>
      <c r="D14" s="20"/>
      <c r="E14" s="43"/>
      <c r="F14" s="43"/>
      <c r="G14" s="146">
        <f>IF('1. Required Start-Up Funds'!I31=0,0,'1. Required Start-Up Funds'!E28/'1. Required Start-Up Funds'!I31)</f>
        <v>0</v>
      </c>
      <c r="H14" s="43"/>
      <c r="I14" s="99" t="str">
        <f>IF(G14&lt;0.2,"Cash request seems reasonable with respect to total request","Cash request exceeds 20% which might be high")</f>
        <v>Cash request seems reasonable with respect to total request</v>
      </c>
      <c r="J14" s="80"/>
      <c r="K14" s="80"/>
      <c r="L14" s="43"/>
      <c r="M14" s="43"/>
      <c r="N14" s="43"/>
      <c r="O14" s="43"/>
      <c r="P14" s="43"/>
      <c r="Q14" s="43"/>
      <c r="R14" s="16"/>
    </row>
    <row r="15" spans="1:18" ht="12.75" customHeight="1">
      <c r="A15" s="20"/>
      <c r="G15" s="147"/>
      <c r="H15" s="43"/>
      <c r="I15" s="99"/>
      <c r="J15" s="80"/>
      <c r="K15" s="80"/>
      <c r="L15" s="43"/>
      <c r="M15" s="43"/>
      <c r="N15" s="43"/>
      <c r="O15" s="43"/>
      <c r="P15" s="43"/>
      <c r="Q15" s="43"/>
      <c r="R15" s="16"/>
    </row>
    <row r="16" spans="1:18" ht="12.75" customHeight="1">
      <c r="A16" s="20"/>
      <c r="B16" s="20" t="s">
        <v>153</v>
      </c>
      <c r="C16" s="20"/>
      <c r="D16" s="20"/>
      <c r="E16" s="43"/>
      <c r="F16" s="43"/>
      <c r="G16" s="147"/>
      <c r="H16" s="43"/>
      <c r="I16" s="99"/>
      <c r="J16" s="80"/>
      <c r="K16" s="80"/>
      <c r="L16" s="43"/>
      <c r="M16" s="43"/>
      <c r="N16" s="43"/>
      <c r="O16" s="43"/>
      <c r="P16" s="43"/>
      <c r="Q16" s="43"/>
      <c r="R16" s="16"/>
    </row>
    <row r="17" spans="1:18" ht="12.75" customHeight="1">
      <c r="A17" s="20"/>
      <c r="B17" s="20"/>
      <c r="C17" s="20" t="s">
        <v>154</v>
      </c>
      <c r="D17" s="20"/>
      <c r="E17" s="43"/>
      <c r="F17" s="43"/>
      <c r="G17" s="146">
        <f>'1. Required Start-Up Funds'!J45</f>
        <v>7.0000000000000007E-2</v>
      </c>
      <c r="H17" s="43"/>
      <c r="I17" s="100" t="str">
        <f>IF(G17&lt;0.06,"Interest rate may be too low for the type of loan requested","Interest rate seems reasonable")</f>
        <v>Interest rate seems reasonable</v>
      </c>
      <c r="J17" s="43"/>
      <c r="K17" s="43"/>
      <c r="L17" s="43"/>
      <c r="M17" s="43"/>
      <c r="N17" s="43"/>
      <c r="O17" s="43"/>
      <c r="P17" s="43"/>
      <c r="Q17" s="43"/>
      <c r="R17" s="16"/>
    </row>
    <row r="18" spans="1:18" ht="12.75" customHeight="1">
      <c r="A18" s="20"/>
      <c r="B18" s="20"/>
      <c r="C18" s="20" t="s">
        <v>155</v>
      </c>
      <c r="D18" s="20"/>
      <c r="E18" s="43"/>
      <c r="F18" s="43"/>
      <c r="G18" s="148">
        <f>'1. Required Start-Up Funds'!K45</f>
        <v>84</v>
      </c>
      <c r="H18" s="43"/>
      <c r="I18" s="100" t="str">
        <f>IF(G18&gt;120,"Loan term may be too high for this type of loan","Loan term seems within range for this type of loan")</f>
        <v>Loan term seems within range for this type of loan</v>
      </c>
      <c r="J18" s="43"/>
      <c r="K18" s="43"/>
      <c r="L18" s="43"/>
      <c r="M18" s="43"/>
      <c r="N18" s="43"/>
      <c r="O18" s="43"/>
      <c r="P18" s="43"/>
      <c r="Q18" s="43"/>
      <c r="R18" s="16"/>
    </row>
    <row r="19" spans="1:18" ht="12.75" customHeight="1">
      <c r="A19" s="20"/>
      <c r="B19" s="85"/>
      <c r="D19" s="85"/>
      <c r="E19" s="14"/>
      <c r="F19" s="14"/>
      <c r="G19" s="85"/>
      <c r="H19" s="44"/>
      <c r="I19" s="101"/>
      <c r="J19" s="46"/>
      <c r="K19" s="46"/>
      <c r="L19" s="43"/>
      <c r="M19" s="43"/>
      <c r="N19" s="43"/>
      <c r="O19" s="43"/>
      <c r="P19" s="43"/>
      <c r="Q19" s="43"/>
      <c r="R19" s="16"/>
    </row>
    <row r="20" spans="1:18" ht="12.75" customHeight="1">
      <c r="A20" s="20"/>
      <c r="B20" s="85"/>
      <c r="C20" s="20" t="s">
        <v>156</v>
      </c>
      <c r="D20" s="85"/>
      <c r="E20" s="14"/>
      <c r="F20" s="14"/>
      <c r="G20" s="146">
        <f>'1. Required Start-Up Funds'!J46</f>
        <v>0.08</v>
      </c>
      <c r="H20" s="46"/>
      <c r="I20" s="101" t="str">
        <f>IF(G20&lt;0.06,"Interest rate may be too low for type of loan requested","Interest rate seems reasonable")</f>
        <v>Interest rate seems reasonable</v>
      </c>
      <c r="J20" s="46"/>
      <c r="K20" s="46"/>
      <c r="L20" s="43"/>
      <c r="M20" s="43"/>
      <c r="N20" s="43"/>
      <c r="O20" s="43"/>
      <c r="P20" s="43"/>
      <c r="Q20" s="43"/>
      <c r="R20" s="16"/>
    </row>
    <row r="21" spans="1:18" ht="12.75" customHeight="1">
      <c r="A21" s="20"/>
      <c r="B21" s="20"/>
      <c r="C21" s="20" t="s">
        <v>157</v>
      </c>
      <c r="D21" s="20"/>
      <c r="E21" s="43"/>
      <c r="F21" s="43"/>
      <c r="G21" s="149">
        <f>'1. Required Start-Up Funds'!K46</f>
        <v>240</v>
      </c>
      <c r="H21" s="46"/>
      <c r="I21" s="102" t="str">
        <f>IF(G21&gt;240,"Loan term may be too high for this type of loan","Loan term seems within range for this type of loan")</f>
        <v>Loan term seems within range for this type of loan</v>
      </c>
      <c r="J21" s="46"/>
      <c r="K21" s="46"/>
      <c r="L21" s="43"/>
      <c r="M21" s="43"/>
      <c r="N21" s="43"/>
      <c r="O21" s="43"/>
      <c r="P21" s="43"/>
      <c r="Q21" s="43"/>
      <c r="R21" s="16"/>
    </row>
    <row r="22" spans="1:18" ht="12.75" customHeight="1">
      <c r="A22" s="20"/>
      <c r="B22" s="20"/>
      <c r="D22" s="20"/>
      <c r="E22" s="43"/>
      <c r="F22" s="43"/>
      <c r="G22" s="150"/>
      <c r="H22" s="46"/>
      <c r="I22" s="101"/>
      <c r="J22" s="46"/>
      <c r="K22" s="46"/>
      <c r="L22" s="43"/>
      <c r="M22" s="43"/>
      <c r="N22" s="43"/>
      <c r="O22" s="43"/>
      <c r="P22" s="43"/>
      <c r="Q22" s="43"/>
      <c r="R22" s="16"/>
    </row>
    <row r="23" spans="1:18" ht="12.75" customHeight="1">
      <c r="A23" s="20"/>
      <c r="B23" s="20"/>
      <c r="C23" s="20" t="s">
        <v>158</v>
      </c>
      <c r="D23" s="20"/>
      <c r="E23" s="43"/>
      <c r="F23" s="43"/>
      <c r="G23" s="146">
        <f>IF('8. Income Statement'!Q16=0,0,'1. Required Start-Up Funds'!L50/'8. Income Statement'!Q16)</f>
        <v>0</v>
      </c>
      <c r="H23" s="46"/>
      <c r="I23" s="101" t="str">
        <f>IF(G23&gt;10,"Calculated loan payments as a percent of sales may be too high","Calculated loan payments as a percent of sales seem resonable")</f>
        <v>Calculated loan payments as a percent of sales seem resonable</v>
      </c>
      <c r="J23" s="46"/>
      <c r="K23" s="46"/>
      <c r="L23" s="43"/>
      <c r="M23" s="43"/>
      <c r="N23" s="43"/>
      <c r="O23" s="43"/>
      <c r="P23" s="43"/>
      <c r="Q23" s="43"/>
      <c r="R23" s="16"/>
    </row>
    <row r="24" spans="1:18" ht="12.75" customHeight="1">
      <c r="A24" s="20"/>
      <c r="B24" s="20"/>
      <c r="C24" s="20"/>
      <c r="D24" s="20"/>
      <c r="E24" s="43"/>
      <c r="F24" s="43"/>
      <c r="G24" s="146"/>
      <c r="H24" s="46"/>
      <c r="I24" s="101"/>
      <c r="J24" s="46"/>
      <c r="K24" s="46"/>
      <c r="L24" s="43"/>
      <c r="M24" s="43"/>
      <c r="N24" s="43"/>
      <c r="O24" s="43"/>
      <c r="P24" s="43"/>
      <c r="Q24" s="43"/>
      <c r="R24" s="16"/>
    </row>
    <row r="25" spans="1:18" ht="12.75" customHeight="1">
      <c r="A25" s="20"/>
      <c r="B25" s="20" t="s">
        <v>159</v>
      </c>
      <c r="C25" s="20"/>
      <c r="D25" s="20"/>
      <c r="E25" s="43"/>
      <c r="F25" s="43"/>
      <c r="G25" s="146"/>
      <c r="H25" s="46"/>
      <c r="I25" s="101"/>
      <c r="J25" s="46"/>
      <c r="K25" s="46"/>
      <c r="L25" s="43"/>
      <c r="M25" s="43"/>
      <c r="N25" s="43"/>
      <c r="O25" s="43"/>
      <c r="P25" s="43"/>
      <c r="Q25" s="43"/>
      <c r="R25" s="16"/>
    </row>
    <row r="26" spans="1:18" ht="12.75" customHeight="1">
      <c r="A26" s="20"/>
      <c r="B26" s="20"/>
      <c r="C26" s="20" t="s">
        <v>160</v>
      </c>
      <c r="D26" s="20"/>
      <c r="E26" s="43"/>
      <c r="F26" s="43"/>
      <c r="G26" s="146">
        <f>'11. Year End Summary'!G28</f>
        <v>0</v>
      </c>
      <c r="H26" s="46"/>
      <c r="I26" s="101" t="str">
        <f>IF(G26&lt;0.2,"Gross margin percentage seems very low","Gross margin percentage seems reasonable")</f>
        <v>Gross margin percentage seems very low</v>
      </c>
      <c r="J26" s="46"/>
      <c r="K26" s="46"/>
      <c r="L26" s="43"/>
      <c r="M26" s="43"/>
      <c r="N26" s="43"/>
      <c r="O26" s="43"/>
      <c r="P26" s="43"/>
      <c r="Q26" s="43"/>
      <c r="R26" s="16"/>
    </row>
    <row r="27" spans="1:18" ht="12.75" customHeight="1">
      <c r="A27" s="20"/>
      <c r="B27" s="20"/>
      <c r="C27" s="20" t="s">
        <v>77</v>
      </c>
      <c r="D27" s="20"/>
      <c r="E27" s="43"/>
      <c r="F27" s="43"/>
      <c r="G27" s="151">
        <f>'2a. Salaries and Wages Summary'!O12</f>
        <v>0</v>
      </c>
      <c r="H27" s="46"/>
      <c r="I27" s="101" t="str">
        <f>IF(G27&gt;0,"An owner's compensation amount has been established","An owner's compensation amount has not been established")</f>
        <v>An owner's compensation amount has not been established</v>
      </c>
      <c r="J27" s="46"/>
      <c r="K27" s="46"/>
      <c r="L27" s="43"/>
      <c r="M27" s="43"/>
      <c r="N27" s="43"/>
      <c r="O27" s="43"/>
      <c r="P27" s="43"/>
      <c r="Q27" s="43"/>
      <c r="R27" s="16"/>
    </row>
    <row r="28" spans="1:18" ht="12.75" customHeight="1">
      <c r="A28" s="20"/>
      <c r="B28" s="20"/>
      <c r="C28" s="20" t="s">
        <v>78</v>
      </c>
      <c r="D28" s="20"/>
      <c r="E28" s="43"/>
      <c r="F28" s="43"/>
      <c r="G28" s="146">
        <f>IF('8. Income Statement'!Q76=0,0,G27/'8. Income Statement'!Q76)</f>
        <v>0</v>
      </c>
      <c r="H28" s="46"/>
      <c r="I28" s="101" t="str">
        <f>IF(G28&gt;1,"Owner's compensation may be too high relative to profitability of business","Owner's compensation seems reasonable")</f>
        <v>Owner's compensation seems reasonable</v>
      </c>
      <c r="J28" s="46"/>
      <c r="K28" s="46"/>
      <c r="L28" s="43"/>
      <c r="M28" s="43"/>
      <c r="N28" s="43"/>
      <c r="O28" s="43"/>
      <c r="P28" s="43"/>
      <c r="Q28" s="43"/>
      <c r="R28" s="16"/>
    </row>
    <row r="29" spans="1:18" ht="12.75" customHeight="1">
      <c r="A29" s="20"/>
      <c r="B29" s="20"/>
      <c r="C29" s="20" t="s">
        <v>79</v>
      </c>
      <c r="D29" s="20"/>
      <c r="E29" s="43"/>
      <c r="F29" s="43"/>
      <c r="G29" s="146">
        <f>IF('8. Income Statement'!Q16=0,0,'8. Income Statement'!Q40/'8. Income Statement'!Q16)</f>
        <v>0</v>
      </c>
      <c r="H29" s="46"/>
      <c r="I29" s="101" t="str">
        <f>IF(G29&lt;0.2,"Advertising as a percent of sales may be too low","Advertising as a percent of sales seems reasonable")</f>
        <v>Advertising as a percent of sales may be too low</v>
      </c>
      <c r="J29" s="46"/>
      <c r="K29" s="46"/>
      <c r="L29" s="43"/>
      <c r="M29" s="43"/>
      <c r="N29" s="43"/>
      <c r="O29" s="43"/>
      <c r="P29" s="43"/>
      <c r="Q29" s="43"/>
      <c r="R29" s="16"/>
    </row>
    <row r="30" spans="1:18" ht="12.75" customHeight="1">
      <c r="A30" s="20"/>
      <c r="B30" s="20"/>
      <c r="C30" s="20" t="s">
        <v>87</v>
      </c>
      <c r="D30" s="20"/>
      <c r="E30" s="43"/>
      <c r="F30" s="43"/>
      <c r="G30" s="151">
        <f>'8. Income Statement'!Q76</f>
        <v>0</v>
      </c>
      <c r="H30" s="46"/>
      <c r="I30" s="101" t="str">
        <f>IF(G30&lt;0,"The business is not showing a profit","The business is showing a profit")</f>
        <v>The business is showing a profit</v>
      </c>
      <c r="J30" s="46"/>
      <c r="K30" s="46"/>
      <c r="L30" s="43"/>
      <c r="M30" s="43"/>
      <c r="N30" s="43"/>
      <c r="O30" s="43"/>
      <c r="P30" s="43"/>
      <c r="Q30" s="43"/>
      <c r="R30" s="16"/>
    </row>
    <row r="31" spans="1:18" ht="12.75" customHeight="1">
      <c r="A31" s="20"/>
      <c r="B31" s="20"/>
      <c r="C31" s="20" t="s">
        <v>80</v>
      </c>
      <c r="D31" s="20"/>
      <c r="E31" s="43"/>
      <c r="F31" s="56"/>
      <c r="G31" s="146">
        <f>'11. Year End Summary'!G79</f>
        <v>0</v>
      </c>
      <c r="H31" s="46"/>
      <c r="I31" s="101" t="str">
        <f>IF(G31&gt;0.2,"The projection may be too aggressive in stating profitability","The projection does not seem highly unreasonable")</f>
        <v>The projection does not seem highly unreasonable</v>
      </c>
      <c r="J31" s="46"/>
      <c r="K31" s="46"/>
      <c r="L31" s="43"/>
      <c r="M31" s="43"/>
      <c r="N31" s="43"/>
      <c r="O31" s="43"/>
      <c r="P31" s="43"/>
      <c r="Q31" s="43"/>
      <c r="R31" s="16"/>
    </row>
    <row r="32" spans="1:18" ht="12.75" customHeight="1">
      <c r="A32" s="20"/>
      <c r="B32" s="20"/>
      <c r="C32" s="20"/>
      <c r="D32" s="20"/>
      <c r="E32" s="43"/>
      <c r="F32" s="56"/>
      <c r="G32" s="150"/>
      <c r="H32" s="46"/>
      <c r="I32" s="101"/>
      <c r="J32" s="46"/>
      <c r="K32" s="46"/>
      <c r="L32" s="43"/>
      <c r="M32" s="43"/>
      <c r="N32" s="43"/>
      <c r="O32" s="43"/>
      <c r="P32" s="43"/>
      <c r="Q32" s="43"/>
      <c r="R32" s="16"/>
    </row>
    <row r="33" spans="1:18" ht="12.75" customHeight="1">
      <c r="A33" s="20"/>
      <c r="B33" s="20" t="s">
        <v>81</v>
      </c>
      <c r="C33" s="20"/>
      <c r="D33" s="20"/>
      <c r="E33" s="43"/>
      <c r="F33" s="58"/>
      <c r="G33" s="94"/>
      <c r="H33" s="46"/>
      <c r="I33" s="101"/>
      <c r="J33" s="46"/>
      <c r="K33" s="46"/>
      <c r="L33" s="43"/>
      <c r="M33" s="43"/>
      <c r="N33" s="43"/>
      <c r="O33" s="43"/>
      <c r="P33" s="43"/>
      <c r="Q33" s="43"/>
      <c r="R33" s="16"/>
    </row>
    <row r="34" spans="1:18" ht="12.75" customHeight="1">
      <c r="A34" s="20"/>
      <c r="B34" s="20"/>
      <c r="C34" s="20" t="s">
        <v>88</v>
      </c>
      <c r="D34" s="20"/>
      <c r="E34" s="43"/>
      <c r="F34" s="43"/>
      <c r="G34" s="151">
        <f>'9. Cash Flow Statement'!Q37</f>
        <v>0</v>
      </c>
      <c r="H34" s="46"/>
      <c r="I34" s="101" t="str">
        <f>IF(G34&gt;0,"The financial projection does not provide the desired level of cash flow","The financial projection provides the desired level of cash flow")</f>
        <v>The financial projection provides the desired level of cash flow</v>
      </c>
      <c r="J34" s="46"/>
      <c r="K34" s="46"/>
      <c r="L34" s="43"/>
      <c r="M34" s="43"/>
      <c r="N34" s="43"/>
      <c r="O34" s="43"/>
      <c r="P34" s="43"/>
      <c r="Q34" s="43"/>
      <c r="R34" s="16"/>
    </row>
    <row r="35" spans="1:18" ht="12.75" customHeight="1">
      <c r="A35" s="20"/>
      <c r="B35" s="20"/>
      <c r="C35" s="20" t="s">
        <v>192</v>
      </c>
      <c r="D35" s="20"/>
      <c r="E35" s="43"/>
      <c r="F35" s="43"/>
      <c r="G35" s="151">
        <f>G34</f>
        <v>0</v>
      </c>
      <c r="H35" s="46"/>
      <c r="I35" s="101" t="str">
        <f>IF(G35&gt;0,"The business will need at least this level of a line of credit","The business doesn't seem to require a line of credit")</f>
        <v>The business doesn't seem to require a line of credit</v>
      </c>
      <c r="J35" s="46"/>
      <c r="K35" s="46"/>
      <c r="L35" s="43"/>
      <c r="M35" s="43"/>
      <c r="N35" s="43"/>
      <c r="O35" s="43"/>
      <c r="P35" s="43"/>
      <c r="Q35" s="43"/>
      <c r="R35" s="16"/>
    </row>
    <row r="36" spans="1:18" ht="12.75" customHeight="1">
      <c r="A36" s="20"/>
      <c r="B36" s="20"/>
      <c r="C36" s="20" t="s">
        <v>82</v>
      </c>
      <c r="D36" s="20"/>
      <c r="E36" s="43"/>
      <c r="F36" s="56"/>
      <c r="G36" s="146">
        <f>IF('8. Income Statement'!Q16=0,0,'10. Balance Sheet'!I9/'8. Income Statement'!Q16)</f>
        <v>0</v>
      </c>
      <c r="H36" s="46"/>
      <c r="I36" s="101" t="str">
        <f>IF(G36&gt;0.3,"Accounts receivable amounts seem high","Accounts receivable amount as a percent of sales seems reasonable")</f>
        <v>Accounts receivable amount as a percent of sales seems reasonable</v>
      </c>
      <c r="J36" s="46"/>
      <c r="K36" s="46"/>
      <c r="L36" s="43"/>
      <c r="M36" s="43"/>
      <c r="N36" s="43"/>
      <c r="O36" s="43"/>
      <c r="P36" s="43"/>
      <c r="Q36" s="43"/>
      <c r="R36" s="16"/>
    </row>
    <row r="37" spans="1:18" ht="12.75" customHeight="1">
      <c r="A37" s="20"/>
      <c r="B37" s="20"/>
      <c r="C37" s="20"/>
      <c r="D37" s="20"/>
      <c r="E37" s="43"/>
      <c r="F37" s="58"/>
      <c r="G37" s="150"/>
      <c r="H37" s="46"/>
      <c r="I37" s="101"/>
      <c r="J37" s="46"/>
      <c r="K37" s="46"/>
      <c r="L37" s="43"/>
      <c r="M37" s="43"/>
      <c r="N37" s="43"/>
      <c r="O37" s="43"/>
      <c r="P37" s="43"/>
      <c r="Q37" s="43"/>
      <c r="R37" s="16"/>
    </row>
    <row r="38" spans="1:18" ht="12.75" customHeight="1">
      <c r="A38" s="20"/>
      <c r="B38" s="20" t="s">
        <v>83</v>
      </c>
      <c r="C38" s="20"/>
      <c r="D38" s="20"/>
      <c r="E38" s="43"/>
      <c r="F38" s="43"/>
      <c r="G38" s="150"/>
      <c r="H38" s="46"/>
      <c r="I38" s="101"/>
      <c r="J38" s="46"/>
      <c r="K38" s="46"/>
      <c r="L38" s="43"/>
      <c r="M38" s="43"/>
      <c r="N38" s="43"/>
      <c r="O38" s="43"/>
      <c r="P38" s="43"/>
      <c r="Q38" s="43"/>
      <c r="R38" s="16"/>
    </row>
    <row r="39" spans="1:18" ht="12.75" customHeight="1">
      <c r="A39" s="20"/>
      <c r="B39" s="20"/>
      <c r="C39" s="20" t="s">
        <v>84</v>
      </c>
      <c r="D39" s="20"/>
      <c r="E39" s="43"/>
      <c r="F39" s="43"/>
      <c r="G39" s="150">
        <f>'10. Balance Sheet'!F26-'10. Balance Sheet'!F46</f>
        <v>0</v>
      </c>
      <c r="H39" s="46"/>
      <c r="I39" s="101" t="str">
        <f>IF(G39&lt;&gt;0,"The balance sheet is not in balance","The balance sheet does balance")</f>
        <v>The balance sheet does balance</v>
      </c>
      <c r="J39" s="46"/>
      <c r="K39" s="46"/>
      <c r="L39" s="43"/>
      <c r="M39" s="43"/>
      <c r="N39" s="43"/>
      <c r="O39" s="43"/>
      <c r="P39" s="43"/>
      <c r="Q39" s="43"/>
      <c r="R39" s="16"/>
    </row>
    <row r="40" spans="1:18" ht="12.75" customHeight="1">
      <c r="A40" s="20"/>
      <c r="B40" s="20"/>
      <c r="C40" s="20" t="s">
        <v>85</v>
      </c>
      <c r="D40" s="20"/>
      <c r="E40" s="43"/>
      <c r="F40" s="43"/>
      <c r="G40" s="150">
        <f>'10. Balance Sheet'!I26-'10. Balance Sheet'!I46</f>
        <v>0</v>
      </c>
      <c r="H40" s="46"/>
      <c r="I40" s="101" t="str">
        <f>IF(G40&lt;&gt;0,"The balance sheet is not in balance","The balance sheet does balance")</f>
        <v>The balance sheet does balance</v>
      </c>
      <c r="J40" s="46"/>
      <c r="K40" s="46"/>
      <c r="L40" s="43"/>
      <c r="M40" s="43"/>
      <c r="N40" s="43"/>
      <c r="O40" s="43"/>
      <c r="P40" s="43"/>
      <c r="Q40" s="43"/>
      <c r="R40" s="16"/>
    </row>
    <row r="41" spans="1:18" ht="12.75" customHeight="1">
      <c r="A41" s="20"/>
      <c r="B41" s="20"/>
      <c r="C41" s="20" t="s">
        <v>122</v>
      </c>
      <c r="D41" s="20"/>
      <c r="E41" s="43"/>
      <c r="F41" s="43"/>
      <c r="G41" s="146">
        <f>IF('10. Balance Sheet'!I44=0,0,'10. Balance Sheet'!I37/'10. Balance Sheet'!I44)</f>
        <v>0</v>
      </c>
      <c r="H41" s="46"/>
      <c r="I41" s="101" t="str">
        <f>IF(G41&gt;5,"Most banks would consider there to be too much debt for the overall amount of equity or ownership","The debt to equity ratio seems reasonable")</f>
        <v>The debt to equity ratio seems reasonable</v>
      </c>
      <c r="J41" s="46"/>
      <c r="K41" s="46"/>
      <c r="L41" s="43"/>
      <c r="M41" s="43"/>
      <c r="N41" s="43"/>
      <c r="O41" s="43"/>
      <c r="P41" s="43"/>
      <c r="Q41" s="43"/>
      <c r="R41" s="16"/>
    </row>
    <row r="42" spans="1:18" ht="12.75" customHeight="1">
      <c r="A42" s="20"/>
      <c r="B42" s="20"/>
      <c r="C42" s="20"/>
      <c r="D42" s="20"/>
      <c r="E42" s="43"/>
      <c r="F42" s="43"/>
      <c r="G42" s="150"/>
      <c r="H42" s="46"/>
      <c r="I42" s="101"/>
      <c r="J42" s="46"/>
      <c r="K42" s="46"/>
      <c r="L42" s="43"/>
      <c r="M42" s="43"/>
      <c r="N42" s="43"/>
      <c r="O42" s="43"/>
      <c r="P42" s="43"/>
      <c r="Q42" s="43"/>
      <c r="R42" s="16"/>
    </row>
    <row r="43" spans="1:18" ht="12.75" customHeight="1">
      <c r="A43" s="20"/>
      <c r="B43" s="20" t="s">
        <v>236</v>
      </c>
      <c r="C43" s="20"/>
      <c r="D43" s="20"/>
      <c r="E43" s="43"/>
      <c r="F43" s="43"/>
      <c r="G43" s="150"/>
      <c r="H43" s="46"/>
      <c r="I43" s="101"/>
      <c r="J43" s="46"/>
      <c r="K43" s="46"/>
      <c r="L43" s="43"/>
      <c r="M43" s="43"/>
      <c r="N43" s="43"/>
      <c r="O43" s="43"/>
      <c r="P43" s="43"/>
      <c r="Q43" s="43"/>
      <c r="R43" s="16"/>
    </row>
    <row r="44" spans="1:18" ht="12.75" customHeight="1">
      <c r="A44" s="20"/>
      <c r="B44" s="20"/>
      <c r="C44" s="20" t="s">
        <v>86</v>
      </c>
      <c r="D44" s="20"/>
      <c r="E44" s="43"/>
      <c r="F44" s="43"/>
      <c r="G44" s="151">
        <f>'8. Income Statement'!Q16-'19. Breakeven Analysis'!G18</f>
        <v>0</v>
      </c>
      <c r="H44" s="46"/>
      <c r="I44" s="101" t="str">
        <f>IF(G44&gt;0,"The sales projection exceeds the projected break-even sales level","The sales projection is less than the break-even amount")</f>
        <v>The sales projection is less than the break-even amount</v>
      </c>
      <c r="J44" s="46"/>
      <c r="K44" s="46"/>
      <c r="L44" s="43"/>
      <c r="M44" s="43"/>
      <c r="N44" s="43"/>
      <c r="O44" s="43"/>
      <c r="P44" s="43"/>
      <c r="Q44" s="43"/>
      <c r="R44" s="16"/>
    </row>
    <row r="45" spans="1:18" ht="12.75" customHeight="1">
      <c r="A45" s="20"/>
      <c r="B45" s="20"/>
      <c r="C45" s="20"/>
      <c r="D45" s="20"/>
      <c r="E45" s="43"/>
      <c r="F45" s="43"/>
      <c r="G45" s="46"/>
      <c r="H45" s="46"/>
      <c r="I45" s="46"/>
      <c r="J45" s="46"/>
      <c r="K45" s="46"/>
      <c r="L45" s="43"/>
      <c r="M45" s="43"/>
      <c r="N45" s="43"/>
      <c r="O45" s="43"/>
      <c r="P45" s="43"/>
      <c r="Q45" s="43"/>
      <c r="R45" s="16"/>
    </row>
    <row r="46" spans="1:18" ht="12.75" customHeight="1">
      <c r="A46" s="20"/>
      <c r="B46" s="20"/>
      <c r="C46" s="20"/>
      <c r="D46" s="20"/>
      <c r="E46" s="43"/>
      <c r="F46" s="43"/>
      <c r="G46" s="46"/>
      <c r="H46" s="46"/>
      <c r="I46" s="46"/>
      <c r="J46" s="46"/>
      <c r="K46" s="46"/>
      <c r="L46" s="43"/>
      <c r="M46" s="43"/>
      <c r="N46" s="43"/>
      <c r="O46" s="43"/>
      <c r="P46" s="43"/>
      <c r="Q46" s="43"/>
      <c r="R46" s="16"/>
    </row>
    <row r="47" spans="1:18" ht="12.75" customHeight="1">
      <c r="A47" s="20"/>
      <c r="B47" s="20"/>
      <c r="C47" s="20"/>
      <c r="D47" s="20"/>
      <c r="E47" s="43"/>
      <c r="F47" s="43"/>
      <c r="G47" s="46"/>
      <c r="H47" s="46"/>
      <c r="I47" s="46"/>
      <c r="J47" s="46"/>
      <c r="K47" s="46"/>
      <c r="L47" s="43"/>
      <c r="M47" s="43"/>
      <c r="N47" s="43"/>
      <c r="O47" s="43"/>
      <c r="P47" s="43"/>
      <c r="Q47" s="43"/>
      <c r="R47" s="16"/>
    </row>
    <row r="48" spans="1:18" ht="12.75" customHeight="1">
      <c r="A48" s="20"/>
      <c r="B48" s="20"/>
      <c r="C48" s="20"/>
      <c r="D48" s="20"/>
      <c r="E48" s="43"/>
      <c r="F48" s="43"/>
      <c r="G48" s="46"/>
      <c r="H48" s="46"/>
      <c r="I48" s="46"/>
      <c r="J48" s="46"/>
      <c r="K48" s="46"/>
      <c r="L48" s="43"/>
      <c r="M48" s="43"/>
      <c r="N48" s="43"/>
      <c r="O48" s="43"/>
      <c r="P48" s="43"/>
      <c r="Q48" s="43"/>
      <c r="R48" s="16"/>
    </row>
    <row r="49" spans="1:18" ht="12.75" customHeight="1">
      <c r="A49" s="20"/>
      <c r="B49" s="20"/>
      <c r="C49" s="20"/>
      <c r="D49" s="20"/>
      <c r="E49" s="43"/>
      <c r="F49" s="43"/>
      <c r="G49" s="46"/>
      <c r="H49" s="46"/>
      <c r="I49" s="46"/>
      <c r="J49" s="46"/>
      <c r="K49" s="46"/>
      <c r="L49" s="43"/>
      <c r="M49" s="43"/>
      <c r="N49" s="43"/>
      <c r="O49" s="43"/>
      <c r="P49" s="43"/>
      <c r="Q49" s="43"/>
      <c r="R49" s="16"/>
    </row>
    <row r="50" spans="1:18" ht="12.75" customHeight="1">
      <c r="A50" s="20"/>
      <c r="B50" s="20"/>
      <c r="C50" s="20"/>
      <c r="D50" s="20"/>
      <c r="E50" s="43"/>
      <c r="F50" s="43"/>
      <c r="G50" s="46"/>
      <c r="H50" s="46"/>
      <c r="I50" s="46"/>
      <c r="J50" s="46"/>
      <c r="K50" s="46"/>
      <c r="L50" s="43"/>
      <c r="M50" s="43"/>
      <c r="N50" s="43"/>
      <c r="O50" s="43"/>
      <c r="P50" s="43"/>
      <c r="Q50" s="43"/>
      <c r="R50" s="16"/>
    </row>
    <row r="51" spans="1:18" ht="12.75" customHeight="1">
      <c r="A51" s="20"/>
      <c r="B51" s="20"/>
      <c r="C51" s="20"/>
      <c r="D51" s="20"/>
      <c r="E51" s="43"/>
      <c r="F51" s="43"/>
      <c r="G51" s="46"/>
      <c r="H51" s="46"/>
      <c r="I51" s="46"/>
      <c r="J51" s="46"/>
      <c r="K51" s="46"/>
      <c r="L51" s="43"/>
      <c r="M51" s="43"/>
      <c r="N51" s="43"/>
      <c r="O51" s="43"/>
      <c r="P51" s="43"/>
      <c r="Q51" s="43"/>
      <c r="R51" s="16"/>
    </row>
    <row r="52" spans="1:18" ht="12.75" customHeight="1">
      <c r="A52" s="20"/>
      <c r="B52" s="20"/>
      <c r="C52" s="20"/>
      <c r="D52" s="20"/>
      <c r="E52" s="43"/>
      <c r="F52" s="43"/>
      <c r="G52" s="46"/>
      <c r="H52" s="46"/>
      <c r="I52" s="46"/>
      <c r="J52" s="46"/>
      <c r="K52" s="46"/>
      <c r="L52" s="43"/>
      <c r="M52" s="43"/>
      <c r="N52" s="43"/>
      <c r="O52" s="43"/>
      <c r="P52" s="43"/>
      <c r="Q52" s="43"/>
      <c r="R52" s="16"/>
    </row>
    <row r="53" spans="1:18" ht="12.75" customHeight="1">
      <c r="A53" s="20"/>
      <c r="B53" s="20"/>
      <c r="C53" s="20"/>
      <c r="D53" s="20"/>
      <c r="E53" s="43"/>
      <c r="F53" s="43"/>
      <c r="G53" s="46"/>
      <c r="H53" s="46"/>
      <c r="I53" s="46"/>
      <c r="J53" s="46"/>
      <c r="K53" s="46"/>
      <c r="L53" s="43"/>
      <c r="M53" s="43"/>
      <c r="N53" s="43"/>
      <c r="O53" s="43"/>
      <c r="P53" s="43"/>
      <c r="Q53" s="43"/>
      <c r="R53" s="16"/>
    </row>
    <row r="54" spans="1:18" ht="12.75" customHeight="1">
      <c r="A54" s="20"/>
      <c r="B54" s="20"/>
      <c r="C54" s="20"/>
      <c r="D54" s="20"/>
      <c r="E54" s="43"/>
      <c r="F54" s="43"/>
      <c r="G54" s="54"/>
      <c r="H54" s="54"/>
      <c r="I54" s="54"/>
      <c r="J54" s="54"/>
      <c r="K54" s="54"/>
      <c r="L54" s="43"/>
      <c r="M54" s="43"/>
      <c r="N54" s="43"/>
      <c r="O54" s="43"/>
      <c r="P54" s="43"/>
      <c r="Q54" s="43"/>
      <c r="R54" s="16"/>
    </row>
    <row r="55" spans="1:18" ht="12.75" customHeight="1">
      <c r="A55" s="20"/>
      <c r="B55" s="20"/>
      <c r="C55" s="20"/>
      <c r="D55" s="20"/>
      <c r="E55" s="43"/>
      <c r="F55" s="43"/>
      <c r="G55" s="50"/>
      <c r="H55" s="50"/>
      <c r="I55" s="50"/>
      <c r="J55" s="50"/>
      <c r="K55" s="50"/>
      <c r="L55" s="43"/>
      <c r="M55" s="43"/>
      <c r="N55" s="43"/>
      <c r="O55" s="43"/>
      <c r="P55" s="43"/>
      <c r="Q55" s="43"/>
      <c r="R55" s="16"/>
    </row>
    <row r="56" spans="1:18" ht="12.75" customHeight="1">
      <c r="A56" s="20"/>
      <c r="B56" s="20"/>
      <c r="C56" s="20"/>
      <c r="D56" s="20"/>
      <c r="E56" s="43"/>
      <c r="F56" s="43"/>
      <c r="G56" s="44"/>
      <c r="H56" s="44"/>
      <c r="I56" s="44"/>
      <c r="J56" s="44"/>
      <c r="K56" s="44"/>
      <c r="L56" s="43"/>
      <c r="M56" s="43"/>
      <c r="N56" s="43"/>
      <c r="O56" s="43"/>
      <c r="P56" s="43"/>
      <c r="Q56" s="43"/>
      <c r="R56" s="16"/>
    </row>
    <row r="57" spans="1:18" ht="12.75" customHeight="1">
      <c r="A57" s="20"/>
      <c r="B57" s="20"/>
      <c r="C57" s="20"/>
      <c r="D57" s="20"/>
      <c r="E57" s="43"/>
      <c r="F57" s="43"/>
      <c r="G57" s="43"/>
      <c r="H57" s="43"/>
      <c r="I57" s="43"/>
      <c r="J57" s="43"/>
      <c r="K57" s="43"/>
      <c r="L57" s="43"/>
      <c r="M57" s="43"/>
      <c r="N57" s="43"/>
      <c r="O57" s="43"/>
      <c r="P57" s="43"/>
      <c r="Q57" s="43"/>
      <c r="R57" s="16"/>
    </row>
    <row r="58" spans="1:18" ht="12.75" customHeight="1">
      <c r="A58" s="20"/>
      <c r="B58" s="20"/>
      <c r="C58" s="20"/>
      <c r="D58" s="20"/>
      <c r="E58" s="43"/>
      <c r="F58" s="43"/>
      <c r="G58" s="43"/>
      <c r="H58" s="43"/>
      <c r="I58" s="43"/>
      <c r="J58" s="43"/>
      <c r="K58" s="43"/>
      <c r="L58" s="43"/>
      <c r="M58" s="43"/>
      <c r="N58" s="43"/>
      <c r="O58" s="43"/>
      <c r="P58" s="43"/>
      <c r="Q58" s="43"/>
      <c r="R58" s="16"/>
    </row>
    <row r="59" spans="1:18" ht="12.75" customHeight="1">
      <c r="A59" s="20"/>
      <c r="B59" s="20"/>
      <c r="C59" s="20"/>
      <c r="D59" s="20"/>
      <c r="E59" s="16"/>
      <c r="F59" s="16"/>
      <c r="G59" s="16"/>
      <c r="I59" s="16"/>
      <c r="J59" s="16"/>
      <c r="K59" s="16"/>
      <c r="L59" s="16"/>
      <c r="M59" s="16"/>
      <c r="N59" s="16"/>
      <c r="O59" s="16"/>
      <c r="P59" s="16"/>
      <c r="Q59" s="16"/>
      <c r="R59" s="16"/>
    </row>
    <row r="60" spans="1:18" ht="12.75" customHeight="1">
      <c r="A60" s="20"/>
      <c r="B60" s="20"/>
      <c r="C60" s="20"/>
      <c r="D60" s="20"/>
      <c r="E60" s="16"/>
      <c r="F60" s="16"/>
      <c r="G60" s="16"/>
      <c r="I60" s="16"/>
      <c r="J60" s="16"/>
      <c r="K60" s="16"/>
      <c r="L60" s="16"/>
      <c r="M60" s="16"/>
      <c r="N60" s="16"/>
      <c r="O60" s="16"/>
      <c r="P60" s="16"/>
      <c r="Q60" s="16"/>
      <c r="R60" s="16"/>
    </row>
    <row r="61" spans="1:18" ht="12.75" customHeight="1"/>
    <row r="62" spans="1:18" ht="12.75" customHeight="1"/>
    <row r="63" spans="1:18" ht="12.75" customHeight="1"/>
    <row r="64" spans="1: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sheetData>
  <sheetProtection selectLockedCells="1" selectUnlockedCells="1"/>
  <phoneticPr fontId="4" type="noConversion"/>
  <pageMargins left="0.75" right="0.75" top="1" bottom="1" header="0.5" footer="0.5"/>
  <pageSetup scale="75" orientation="landscape" blackAndWhite="1" horizontalDpi="300" verticalDpi="300"/>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87:AK89"/>
  <sheetViews>
    <sheetView workbookViewId="0">
      <selection activeCell="A48" sqref="A48"/>
    </sheetView>
  </sheetViews>
  <sheetFormatPr defaultColWidth="8.85546875" defaultRowHeight="12"/>
  <cols>
    <col min="1" max="1" width="18.85546875" customWidth="1"/>
    <col min="2" max="8" width="10.42578125" bestFit="1" customWidth="1"/>
    <col min="9" max="37" width="11.42578125" bestFit="1" customWidth="1"/>
  </cols>
  <sheetData>
    <row r="87" spans="1:37">
      <c r="A87" t="s">
        <v>7</v>
      </c>
      <c r="B87">
        <f>+'9. Cash Flow Statement'!E6</f>
        <v>1</v>
      </c>
      <c r="C87">
        <f>+'9. Cash Flow Statement'!F6</f>
        <v>2</v>
      </c>
      <c r="D87">
        <f>+'9. Cash Flow Statement'!G6</f>
        <v>3</v>
      </c>
      <c r="E87">
        <f>+'9. Cash Flow Statement'!H6</f>
        <v>4</v>
      </c>
      <c r="F87">
        <f>+'9. Cash Flow Statement'!I6</f>
        <v>5</v>
      </c>
      <c r="G87">
        <f>+'9. Cash Flow Statement'!J6</f>
        <v>6</v>
      </c>
      <c r="H87">
        <f>+'9. Cash Flow Statement'!K6</f>
        <v>7</v>
      </c>
      <c r="I87">
        <f>+'9. Cash Flow Statement'!L6</f>
        <v>8</v>
      </c>
      <c r="J87">
        <f>+'9. Cash Flow Statement'!M6</f>
        <v>9</v>
      </c>
      <c r="K87">
        <f>+'9. Cash Flow Statement'!N6</f>
        <v>10</v>
      </c>
      <c r="L87">
        <f>+'9. Cash Flow Statement'!O6</f>
        <v>11</v>
      </c>
      <c r="M87">
        <f>+'9. Cash Flow Statement'!P6</f>
        <v>12</v>
      </c>
      <c r="N87">
        <f>+B87+12</f>
        <v>13</v>
      </c>
      <c r="O87">
        <f>+N87+1</f>
        <v>14</v>
      </c>
      <c r="P87">
        <f t="shared" ref="P87:AK87" si="0">+O87+1</f>
        <v>15</v>
      </c>
      <c r="Q87">
        <f t="shared" si="0"/>
        <v>16</v>
      </c>
      <c r="R87">
        <f t="shared" si="0"/>
        <v>17</v>
      </c>
      <c r="S87">
        <f t="shared" si="0"/>
        <v>18</v>
      </c>
      <c r="T87">
        <f t="shared" si="0"/>
        <v>19</v>
      </c>
      <c r="U87">
        <f t="shared" si="0"/>
        <v>20</v>
      </c>
      <c r="V87">
        <f t="shared" si="0"/>
        <v>21</v>
      </c>
      <c r="W87">
        <f t="shared" si="0"/>
        <v>22</v>
      </c>
      <c r="X87">
        <f t="shared" si="0"/>
        <v>23</v>
      </c>
      <c r="Y87">
        <f t="shared" si="0"/>
        <v>24</v>
      </c>
      <c r="Z87">
        <f t="shared" si="0"/>
        <v>25</v>
      </c>
      <c r="AA87">
        <f t="shared" si="0"/>
        <v>26</v>
      </c>
      <c r="AB87">
        <f t="shared" si="0"/>
        <v>27</v>
      </c>
      <c r="AC87">
        <f t="shared" si="0"/>
        <v>28</v>
      </c>
      <c r="AD87">
        <f t="shared" si="0"/>
        <v>29</v>
      </c>
      <c r="AE87">
        <f t="shared" si="0"/>
        <v>30</v>
      </c>
      <c r="AF87">
        <f t="shared" si="0"/>
        <v>31</v>
      </c>
      <c r="AG87">
        <f t="shared" si="0"/>
        <v>32</v>
      </c>
      <c r="AH87">
        <f t="shared" si="0"/>
        <v>33</v>
      </c>
      <c r="AI87">
        <f t="shared" si="0"/>
        <v>34</v>
      </c>
      <c r="AJ87">
        <f t="shared" si="0"/>
        <v>35</v>
      </c>
      <c r="AK87">
        <f t="shared" si="0"/>
        <v>36</v>
      </c>
    </row>
    <row r="88" spans="1:37">
      <c r="A88" t="s">
        <v>8</v>
      </c>
      <c r="B88" s="175">
        <f>+'9. Cash Flow Statement'!E33</f>
        <v>0</v>
      </c>
      <c r="C88" s="175">
        <f>+'9. Cash Flow Statement'!F33</f>
        <v>0</v>
      </c>
      <c r="D88" s="175">
        <f>+'9. Cash Flow Statement'!G33</f>
        <v>0</v>
      </c>
      <c r="E88" s="175">
        <f>+'9. Cash Flow Statement'!H33</f>
        <v>0</v>
      </c>
      <c r="F88" s="175">
        <f>+'9. Cash Flow Statement'!I33</f>
        <v>0</v>
      </c>
      <c r="G88" s="175">
        <f>+'9. Cash Flow Statement'!J33</f>
        <v>0</v>
      </c>
      <c r="H88" s="175">
        <f>+'9. Cash Flow Statement'!K33</f>
        <v>0</v>
      </c>
      <c r="I88" s="175">
        <f>+'9. Cash Flow Statement'!L33</f>
        <v>0</v>
      </c>
      <c r="J88" s="175">
        <f>+'9. Cash Flow Statement'!M33</f>
        <v>0</v>
      </c>
      <c r="K88" s="175">
        <f>+'9. Cash Flow Statement'!N33</f>
        <v>0</v>
      </c>
      <c r="L88" s="175">
        <f>+'9. Cash Flow Statement'!O33</f>
        <v>0</v>
      </c>
      <c r="M88" s="175">
        <f>+'9. Cash Flow Statement'!P33</f>
        <v>0</v>
      </c>
      <c r="N88" s="175">
        <f>+'13. Cash Flow Statement (2)'!E33</f>
        <v>0</v>
      </c>
      <c r="O88" s="175">
        <f>+'13. Cash Flow Statement (2)'!F33</f>
        <v>0</v>
      </c>
      <c r="P88" s="175">
        <f>+'13. Cash Flow Statement (2)'!G33</f>
        <v>0</v>
      </c>
      <c r="Q88" s="175">
        <f>+'13. Cash Flow Statement (2)'!H33</f>
        <v>0</v>
      </c>
      <c r="R88" s="175">
        <f>+'13. Cash Flow Statement (2)'!I33</f>
        <v>0</v>
      </c>
      <c r="S88" s="175">
        <f>+'13. Cash Flow Statement (2)'!J33</f>
        <v>0</v>
      </c>
      <c r="T88" s="175">
        <f>+'13. Cash Flow Statement (2)'!K33</f>
        <v>0</v>
      </c>
      <c r="U88" s="175">
        <f>+'13. Cash Flow Statement (2)'!L33</f>
        <v>0</v>
      </c>
      <c r="V88" s="175">
        <f>+'13. Cash Flow Statement (2)'!M33</f>
        <v>0</v>
      </c>
      <c r="W88" s="175">
        <f>+'13. Cash Flow Statement (2)'!N33</f>
        <v>0</v>
      </c>
      <c r="X88" s="175">
        <f>+'13. Cash Flow Statement (2)'!O33</f>
        <v>0</v>
      </c>
      <c r="Y88" s="175">
        <f>+'13. Cash Flow Statement (2)'!P33</f>
        <v>0</v>
      </c>
      <c r="Z88" s="175">
        <f>+'16. Cash Flow Statement (3)'!E33</f>
        <v>0</v>
      </c>
      <c r="AA88" s="175">
        <f>+'16. Cash Flow Statement (3)'!F33</f>
        <v>0</v>
      </c>
      <c r="AB88" s="175">
        <f>+'16. Cash Flow Statement (3)'!G33</f>
        <v>0</v>
      </c>
      <c r="AC88" s="175">
        <f>+'16. Cash Flow Statement (3)'!H33</f>
        <v>0</v>
      </c>
      <c r="AD88" s="175">
        <f>+'16. Cash Flow Statement (3)'!I33</f>
        <v>0</v>
      </c>
      <c r="AE88" s="175">
        <f>+'16. Cash Flow Statement (3)'!J33</f>
        <v>0</v>
      </c>
      <c r="AF88" s="175">
        <f>+'16. Cash Flow Statement (3)'!K33</f>
        <v>0</v>
      </c>
      <c r="AG88" s="175">
        <f>+'16. Cash Flow Statement (3)'!L33</f>
        <v>0</v>
      </c>
      <c r="AH88" s="175">
        <f>+'16. Cash Flow Statement (3)'!M33</f>
        <v>0</v>
      </c>
      <c r="AI88" s="175">
        <f>+'16. Cash Flow Statement (3)'!N33</f>
        <v>0</v>
      </c>
      <c r="AJ88" s="175">
        <f>+'16. Cash Flow Statement (3)'!O33</f>
        <v>0</v>
      </c>
      <c r="AK88" s="175">
        <f>+'16. Cash Flow Statement (3)'!P33</f>
        <v>0</v>
      </c>
    </row>
    <row r="89" spans="1:37">
      <c r="A89" t="s">
        <v>9</v>
      </c>
      <c r="B89" s="175">
        <f>+B88</f>
        <v>0</v>
      </c>
      <c r="C89" s="175">
        <f>+B89+C88</f>
        <v>0</v>
      </c>
      <c r="D89" s="175">
        <f t="shared" ref="D89:AK89" si="1">+C89+D88</f>
        <v>0</v>
      </c>
      <c r="E89" s="175">
        <f t="shared" si="1"/>
        <v>0</v>
      </c>
      <c r="F89" s="175">
        <f t="shared" si="1"/>
        <v>0</v>
      </c>
      <c r="G89" s="175">
        <f t="shared" si="1"/>
        <v>0</v>
      </c>
      <c r="H89" s="175">
        <f t="shared" si="1"/>
        <v>0</v>
      </c>
      <c r="I89" s="175">
        <f t="shared" si="1"/>
        <v>0</v>
      </c>
      <c r="J89" s="175">
        <f t="shared" si="1"/>
        <v>0</v>
      </c>
      <c r="K89" s="175">
        <f t="shared" si="1"/>
        <v>0</v>
      </c>
      <c r="L89" s="175">
        <f t="shared" si="1"/>
        <v>0</v>
      </c>
      <c r="M89" s="175">
        <f t="shared" si="1"/>
        <v>0</v>
      </c>
      <c r="N89" s="175">
        <f t="shared" si="1"/>
        <v>0</v>
      </c>
      <c r="O89" s="175">
        <f t="shared" si="1"/>
        <v>0</v>
      </c>
      <c r="P89" s="175">
        <f t="shared" si="1"/>
        <v>0</v>
      </c>
      <c r="Q89" s="175">
        <f t="shared" si="1"/>
        <v>0</v>
      </c>
      <c r="R89" s="175">
        <f t="shared" si="1"/>
        <v>0</v>
      </c>
      <c r="S89" s="175">
        <f t="shared" si="1"/>
        <v>0</v>
      </c>
      <c r="T89" s="175">
        <f t="shared" si="1"/>
        <v>0</v>
      </c>
      <c r="U89" s="175">
        <f t="shared" si="1"/>
        <v>0</v>
      </c>
      <c r="V89" s="175">
        <f t="shared" si="1"/>
        <v>0</v>
      </c>
      <c r="W89" s="175">
        <f t="shared" si="1"/>
        <v>0</v>
      </c>
      <c r="X89" s="175">
        <f t="shared" si="1"/>
        <v>0</v>
      </c>
      <c r="Y89" s="175">
        <f t="shared" si="1"/>
        <v>0</v>
      </c>
      <c r="Z89" s="175">
        <f t="shared" si="1"/>
        <v>0</v>
      </c>
      <c r="AA89" s="175">
        <f t="shared" si="1"/>
        <v>0</v>
      </c>
      <c r="AB89" s="175">
        <f t="shared" si="1"/>
        <v>0</v>
      </c>
      <c r="AC89" s="175">
        <f t="shared" si="1"/>
        <v>0</v>
      </c>
      <c r="AD89" s="175">
        <f t="shared" si="1"/>
        <v>0</v>
      </c>
      <c r="AE89" s="175">
        <f t="shared" si="1"/>
        <v>0</v>
      </c>
      <c r="AF89" s="175">
        <f t="shared" si="1"/>
        <v>0</v>
      </c>
      <c r="AG89" s="175">
        <f t="shared" si="1"/>
        <v>0</v>
      </c>
      <c r="AH89" s="175">
        <f t="shared" si="1"/>
        <v>0</v>
      </c>
      <c r="AI89" s="175">
        <f t="shared" si="1"/>
        <v>0</v>
      </c>
      <c r="AJ89" s="175">
        <f t="shared" si="1"/>
        <v>0</v>
      </c>
      <c r="AK89" s="175">
        <f t="shared" si="1"/>
        <v>0</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defaultColWidth="8.85546875" defaultRowHeight="12"/>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workbookViewId="0"/>
  </sheetViews>
  <sheetFormatPr defaultRowHeight="1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O189"/>
  <sheetViews>
    <sheetView workbookViewId="0">
      <selection activeCell="F6" sqref="F6"/>
    </sheetView>
  </sheetViews>
  <sheetFormatPr defaultColWidth="8.85546875" defaultRowHeight="12"/>
  <cols>
    <col min="1" max="1" width="28" style="1" customWidth="1"/>
    <col min="2" max="2" width="18.5703125" customWidth="1"/>
    <col min="3" max="3" width="14.42578125" customWidth="1"/>
    <col min="4" max="4" width="11.85546875" customWidth="1"/>
    <col min="5" max="5" width="12.7109375" customWidth="1"/>
    <col min="6" max="8" width="17" customWidth="1"/>
    <col min="9" max="9" width="17.85546875" customWidth="1"/>
    <col min="10" max="11" width="18.140625" customWidth="1"/>
    <col min="12" max="12" width="12.140625" customWidth="1"/>
    <col min="13" max="13" width="11.5703125" customWidth="1"/>
    <col min="14" max="14" width="11" bestFit="1" customWidth="1"/>
  </cols>
  <sheetData>
    <row r="1" spans="1:15" ht="18">
      <c r="A1" s="97" t="s">
        <v>25</v>
      </c>
      <c r="B1" s="207"/>
      <c r="C1" s="207"/>
    </row>
    <row r="3" spans="1:15">
      <c r="D3" s="358" t="s">
        <v>20</v>
      </c>
      <c r="E3" s="358"/>
      <c r="F3" s="359"/>
      <c r="G3" s="221">
        <v>0.03</v>
      </c>
      <c r="H3" s="220">
        <v>0.03</v>
      </c>
    </row>
    <row r="5" spans="1:15" ht="12.75" thickBot="1">
      <c r="E5" s="1" t="s">
        <v>412</v>
      </c>
      <c r="F5" s="84" t="s">
        <v>56</v>
      </c>
      <c r="G5" s="84" t="s">
        <v>57</v>
      </c>
      <c r="H5" s="84" t="s">
        <v>58</v>
      </c>
    </row>
    <row r="6" spans="1:15" ht="12.75" thickBot="1">
      <c r="B6" s="38" t="s">
        <v>373</v>
      </c>
      <c r="D6" s="358" t="s">
        <v>13</v>
      </c>
      <c r="E6" s="358">
        <v>1</v>
      </c>
      <c r="F6" s="222"/>
      <c r="G6" s="223">
        <f>+F6*(1+G3)</f>
        <v>0</v>
      </c>
      <c r="H6" s="223">
        <f>+G6*(1+H3)</f>
        <v>0</v>
      </c>
    </row>
    <row r="7" spans="1:15">
      <c r="B7" s="38" t="s">
        <v>374</v>
      </c>
      <c r="D7" s="103"/>
      <c r="E7" s="103"/>
      <c r="F7" s="324"/>
      <c r="G7" s="324"/>
      <c r="H7" s="324"/>
    </row>
    <row r="8" spans="1:15">
      <c r="B8" s="84" t="s">
        <v>372</v>
      </c>
      <c r="D8" s="84" t="s">
        <v>18</v>
      </c>
      <c r="E8" s="84" t="s">
        <v>411</v>
      </c>
      <c r="F8" s="14"/>
      <c r="G8" s="14"/>
      <c r="H8" s="14"/>
      <c r="J8" s="219"/>
    </row>
    <row r="9" spans="1:15">
      <c r="A9" s="190" t="s">
        <v>17</v>
      </c>
      <c r="B9" s="191" t="s">
        <v>358</v>
      </c>
      <c r="C9" s="190" t="s">
        <v>19</v>
      </c>
      <c r="D9" s="38" t="s">
        <v>26</v>
      </c>
      <c r="E9" s="191"/>
      <c r="F9" s="187"/>
      <c r="G9" s="187"/>
      <c r="H9" s="187"/>
    </row>
    <row r="10" spans="1:15" ht="15">
      <c r="A10" s="384"/>
      <c r="B10" s="353"/>
      <c r="C10" s="384"/>
      <c r="D10" s="385"/>
      <c r="E10" s="240"/>
      <c r="F10" s="198">
        <f t="shared" ref="F10:F18" si="0">IF($D10=1,+$C10,0)</f>
        <v>0</v>
      </c>
      <c r="G10" s="198">
        <f>IF($D10=2,+$C10,IF($D10=1,+$C10*(1+$G$3),0))</f>
        <v>0</v>
      </c>
      <c r="H10" s="198">
        <f>IF($D10=3,+$C10,IF($G10&gt;0,+$G10*(1+$H$3),0))</f>
        <v>0</v>
      </c>
      <c r="I10" s="351" t="s">
        <v>360</v>
      </c>
      <c r="J10" s="351"/>
      <c r="K10" s="351"/>
      <c r="L10" s="351"/>
      <c r="M10" s="351"/>
      <c r="N10" s="345"/>
      <c r="O10" s="345"/>
    </row>
    <row r="11" spans="1:15" ht="15">
      <c r="A11" s="386"/>
      <c r="B11" s="353"/>
      <c r="C11" s="386"/>
      <c r="D11" s="387"/>
      <c r="E11" s="240"/>
      <c r="F11" s="198">
        <f t="shared" si="0"/>
        <v>0</v>
      </c>
      <c r="G11" s="198">
        <f t="shared" ref="G11:G18" si="1">IF($D11=2,+$C11,IF($D11=1,+$C11*(1+$G$3),0))</f>
        <v>0</v>
      </c>
      <c r="H11" s="198">
        <f t="shared" ref="H11:H18" si="2">IF($D11=3,+$C11,IF($G11&gt;0,+$G11*(1+$H$3),0))</f>
        <v>0</v>
      </c>
      <c r="I11" s="351" t="s">
        <v>362</v>
      </c>
      <c r="J11" s="351"/>
      <c r="K11" s="351"/>
      <c r="L11" s="351"/>
      <c r="M11" s="351"/>
      <c r="N11" s="345"/>
      <c r="O11" s="345"/>
    </row>
    <row r="12" spans="1:15" ht="15">
      <c r="A12" s="217"/>
      <c r="B12" s="353"/>
      <c r="C12" s="277"/>
      <c r="D12" s="240"/>
      <c r="E12" s="240"/>
      <c r="F12" s="198">
        <f t="shared" si="0"/>
        <v>0</v>
      </c>
      <c r="G12" s="198">
        <f t="shared" si="1"/>
        <v>0</v>
      </c>
      <c r="H12" s="198">
        <f t="shared" si="2"/>
        <v>0</v>
      </c>
      <c r="I12" s="351" t="s">
        <v>359</v>
      </c>
      <c r="J12" s="345"/>
      <c r="K12" s="345"/>
      <c r="L12" s="345"/>
      <c r="M12" s="345"/>
      <c r="N12" s="345"/>
      <c r="O12" s="345"/>
    </row>
    <row r="13" spans="1:15" ht="15">
      <c r="A13" s="217"/>
      <c r="B13" s="353"/>
      <c r="C13" s="277"/>
      <c r="D13" s="240"/>
      <c r="E13" s="240"/>
      <c r="F13" s="198">
        <f t="shared" si="0"/>
        <v>0</v>
      </c>
      <c r="G13" s="198">
        <f t="shared" si="1"/>
        <v>0</v>
      </c>
      <c r="H13" s="198">
        <f t="shared" si="2"/>
        <v>0</v>
      </c>
      <c r="I13" s="352" t="s">
        <v>361</v>
      </c>
      <c r="J13" s="345"/>
      <c r="K13" s="345"/>
      <c r="L13" s="345"/>
      <c r="M13" s="345"/>
      <c r="N13" s="345"/>
      <c r="O13" s="345"/>
    </row>
    <row r="14" spans="1:15">
      <c r="A14" s="217"/>
      <c r="B14" s="353"/>
      <c r="C14" s="277"/>
      <c r="D14" s="240"/>
      <c r="E14" s="240"/>
      <c r="F14" s="198">
        <f t="shared" si="0"/>
        <v>0</v>
      </c>
      <c r="G14" s="198">
        <f t="shared" si="1"/>
        <v>0</v>
      </c>
      <c r="H14" s="198">
        <f t="shared" si="2"/>
        <v>0</v>
      </c>
    </row>
    <row r="15" spans="1:15" ht="15">
      <c r="A15" s="217"/>
      <c r="B15" s="353"/>
      <c r="C15" s="277"/>
      <c r="D15" s="240"/>
      <c r="E15" s="240"/>
      <c r="F15" s="198">
        <f t="shared" si="0"/>
        <v>0</v>
      </c>
      <c r="G15" s="198">
        <f t="shared" si="1"/>
        <v>0</v>
      </c>
      <c r="H15" s="198">
        <f t="shared" si="2"/>
        <v>0</v>
      </c>
      <c r="I15" s="336" t="s">
        <v>371</v>
      </c>
    </row>
    <row r="16" spans="1:15" ht="12.75">
      <c r="A16" s="217"/>
      <c r="B16" s="353"/>
      <c r="C16" s="277"/>
      <c r="D16" s="240"/>
      <c r="E16" s="240"/>
      <c r="F16" s="198">
        <f t="shared" si="0"/>
        <v>0</v>
      </c>
      <c r="G16" s="198">
        <f t="shared" si="1"/>
        <v>0</v>
      </c>
      <c r="H16" s="198">
        <f t="shared" si="2"/>
        <v>0</v>
      </c>
      <c r="I16" s="335" t="s">
        <v>363</v>
      </c>
      <c r="J16" s="335"/>
      <c r="K16" s="335"/>
      <c r="L16" s="335"/>
      <c r="M16" s="335"/>
    </row>
    <row r="17" spans="1:13" ht="12.75">
      <c r="A17" s="217"/>
      <c r="B17" s="353"/>
      <c r="C17" s="277"/>
      <c r="D17" s="240"/>
      <c r="E17" s="240"/>
      <c r="F17" s="198">
        <f t="shared" si="0"/>
        <v>0</v>
      </c>
      <c r="G17" s="198">
        <f t="shared" si="1"/>
        <v>0</v>
      </c>
      <c r="H17" s="198">
        <f t="shared" si="2"/>
        <v>0</v>
      </c>
      <c r="I17" s="335" t="s">
        <v>364</v>
      </c>
      <c r="J17" s="335"/>
      <c r="K17" s="335"/>
      <c r="L17" s="335"/>
      <c r="M17" s="335"/>
    </row>
    <row r="18" spans="1:13" ht="13.5" thickBot="1">
      <c r="A18" s="218"/>
      <c r="B18" s="354"/>
      <c r="C18" s="218"/>
      <c r="D18" s="241"/>
      <c r="E18" s="243"/>
      <c r="F18" s="198">
        <f t="shared" si="0"/>
        <v>0</v>
      </c>
      <c r="G18" s="198">
        <f t="shared" si="1"/>
        <v>0</v>
      </c>
      <c r="H18" s="198">
        <f t="shared" si="2"/>
        <v>0</v>
      </c>
      <c r="I18" s="335" t="s">
        <v>410</v>
      </c>
      <c r="J18" s="335"/>
      <c r="K18" s="335"/>
      <c r="L18" s="335"/>
      <c r="M18" s="335"/>
    </row>
    <row r="19" spans="1:13" ht="13.5" thickBot="1">
      <c r="A19" s="1" t="s">
        <v>14</v>
      </c>
      <c r="F19" s="188">
        <f>SUM(F9:F18)</f>
        <v>0</v>
      </c>
      <c r="G19" s="189">
        <f>SUM(G9:G18)</f>
        <v>0</v>
      </c>
      <c r="H19" s="204">
        <f>SUM(H9:H18)</f>
        <v>0</v>
      </c>
      <c r="I19" s="335" t="s">
        <v>365</v>
      </c>
      <c r="J19" s="335"/>
      <c r="K19" s="335"/>
      <c r="L19" s="335"/>
      <c r="M19" s="335"/>
    </row>
    <row r="20" spans="1:13" ht="12.75">
      <c r="I20" s="335" t="s">
        <v>366</v>
      </c>
      <c r="J20" s="335"/>
      <c r="K20" s="335"/>
      <c r="L20" s="335"/>
      <c r="M20" s="335"/>
    </row>
    <row r="21" spans="1:13" ht="12.75">
      <c r="I21" s="335" t="s">
        <v>367</v>
      </c>
      <c r="J21" s="335"/>
      <c r="K21" s="335"/>
      <c r="L21" s="335"/>
      <c r="M21" s="335"/>
    </row>
    <row r="22" spans="1:13" ht="12.75">
      <c r="A22" s="190" t="s">
        <v>21</v>
      </c>
      <c r="B22" s="191" t="s">
        <v>15</v>
      </c>
      <c r="C22" s="191" t="s">
        <v>16</v>
      </c>
      <c r="D22" s="190" t="s">
        <v>18</v>
      </c>
      <c r="E22" s="84" t="s">
        <v>411</v>
      </c>
      <c r="I22" s="335" t="s">
        <v>368</v>
      </c>
      <c r="J22" s="335"/>
      <c r="K22" s="335"/>
      <c r="L22" s="335"/>
      <c r="M22" s="335"/>
    </row>
    <row r="23" spans="1:13" ht="12.75">
      <c r="A23" s="384"/>
      <c r="B23" s="388"/>
      <c r="C23" s="384"/>
      <c r="D23" s="385"/>
      <c r="E23" s="239"/>
      <c r="F23" s="197">
        <f>IF(D23=1,+C23*B23*52/12,0)</f>
        <v>0</v>
      </c>
      <c r="G23" s="197">
        <f>IF(F23&gt;0,+F23*(1+G3),(IF($D23=2,$B23*$C23*52/12,0)))</f>
        <v>0</v>
      </c>
      <c r="H23" s="194">
        <f>IF(G23&gt;0,+G23*(1+H$3),(IF($D23=3,$B23*$C23*52/12,0)))</f>
        <v>0</v>
      </c>
      <c r="I23" s="335" t="s">
        <v>369</v>
      </c>
      <c r="J23" s="335"/>
      <c r="K23" s="335"/>
      <c r="L23" s="335"/>
      <c r="M23" s="335"/>
    </row>
    <row r="24" spans="1:13" ht="12.75">
      <c r="A24" s="386"/>
      <c r="B24" s="389"/>
      <c r="C24" s="386"/>
      <c r="D24" s="387"/>
      <c r="E24" s="240"/>
      <c r="F24" s="198">
        <f>IF(D24=1,+C24*B24*52/12,0)</f>
        <v>0</v>
      </c>
      <c r="G24" s="198">
        <f>IF(F24&gt;0,+F24*(1+'2a. Salaries and Wages Summary'!$P$8),(IF($D24=2,$B24*$C24*52/12,0)))</f>
        <v>0</v>
      </c>
      <c r="H24" s="195">
        <f>IF(G24&gt;0,+G24*(1+H$3),(IF($D24=3,$B24*$C24*52/12,0)))</f>
        <v>0</v>
      </c>
      <c r="I24" s="335" t="s">
        <v>370</v>
      </c>
      <c r="J24" s="335"/>
      <c r="K24" s="335"/>
      <c r="L24" s="335"/>
      <c r="M24" s="335"/>
    </row>
    <row r="25" spans="1:13">
      <c r="A25" s="386"/>
      <c r="B25" s="387"/>
      <c r="C25" s="386"/>
      <c r="D25" s="387"/>
      <c r="E25" s="240"/>
      <c r="F25" s="198">
        <f>IF(D25=1,+C25*B25*52/12,0)</f>
        <v>0</v>
      </c>
      <c r="G25" s="198">
        <f>IF(F25&gt;0,+F25*(1+'2a. Salaries and Wages Summary'!$P$8),(IF($D25=2,$B25*$C25*52/12,0)))</f>
        <v>0</v>
      </c>
      <c r="H25" s="195">
        <f t="shared" ref="H25:H37" si="3">IF(G25&gt;0,+G25*(1+H$3),(IF($D25=3,$B25*$C25*52/12,0)))</f>
        <v>0</v>
      </c>
    </row>
    <row r="26" spans="1:13">
      <c r="A26" s="386"/>
      <c r="B26" s="389"/>
      <c r="C26" s="386"/>
      <c r="D26" s="387"/>
      <c r="E26" s="240"/>
      <c r="F26" s="198">
        <f t="shared" ref="F26:F32" si="4">IF(D26=1,+C26*B26*52/12,0)</f>
        <v>0</v>
      </c>
      <c r="G26" s="198">
        <f>IF(F26&gt;0,+F26*(1+'2a. Salaries and Wages Summary'!$P$8),(IF($D26=2,$B26*$C26*52/12,0)))</f>
        <v>0</v>
      </c>
      <c r="H26" s="195">
        <f t="shared" si="3"/>
        <v>0</v>
      </c>
    </row>
    <row r="27" spans="1:13">
      <c r="A27" s="386"/>
      <c r="B27" s="389"/>
      <c r="C27" s="386"/>
      <c r="D27" s="387"/>
      <c r="E27" s="240"/>
      <c r="F27" s="198">
        <f t="shared" si="4"/>
        <v>0</v>
      </c>
      <c r="G27" s="198">
        <f>IF(F27&gt;0,+F27*(1+'2a. Salaries and Wages Summary'!$P$8),(IF($D27=2,$B27*$C27*52/12,0)))</f>
        <v>0</v>
      </c>
      <c r="H27" s="195">
        <f t="shared" si="3"/>
        <v>0</v>
      </c>
    </row>
    <row r="28" spans="1:13">
      <c r="A28" s="386"/>
      <c r="B28" s="389"/>
      <c r="C28" s="386"/>
      <c r="D28" s="387"/>
      <c r="E28" s="240"/>
      <c r="F28" s="198">
        <f t="shared" si="4"/>
        <v>0</v>
      </c>
      <c r="G28" s="198">
        <f>IF(F28&gt;0,+F28*(1+'2a. Salaries and Wages Summary'!$P$8),(IF($D28=2,$B28*$C28*52/12,0)))</f>
        <v>0</v>
      </c>
      <c r="H28" s="195">
        <f t="shared" si="3"/>
        <v>0</v>
      </c>
    </row>
    <row r="29" spans="1:13">
      <c r="A29" s="386"/>
      <c r="B29" s="389"/>
      <c r="C29" s="386"/>
      <c r="D29" s="387"/>
      <c r="E29" s="240"/>
      <c r="F29" s="198">
        <f t="shared" si="4"/>
        <v>0</v>
      </c>
      <c r="G29" s="198">
        <f>IF(F29&gt;0,+F29*(1+'2a. Salaries and Wages Summary'!$P$8),(IF($D29=2,$B29*$C29*52/12,0)))</f>
        <v>0</v>
      </c>
      <c r="H29" s="195">
        <f t="shared" si="3"/>
        <v>0</v>
      </c>
    </row>
    <row r="30" spans="1:13">
      <c r="A30" s="217"/>
      <c r="B30" s="240"/>
      <c r="C30" s="217"/>
      <c r="D30" s="240"/>
      <c r="E30" s="240"/>
      <c r="F30" s="198">
        <f t="shared" si="4"/>
        <v>0</v>
      </c>
      <c r="G30" s="198">
        <f>IF(F30&gt;0,+F30*(1+'2a. Salaries and Wages Summary'!$P$8),(IF($D30=2,$B30*$C30*52/12,0)))</f>
        <v>0</v>
      </c>
      <c r="H30" s="195">
        <f t="shared" si="3"/>
        <v>0</v>
      </c>
    </row>
    <row r="31" spans="1:13">
      <c r="A31" s="217"/>
      <c r="B31" s="240"/>
      <c r="C31" s="217"/>
      <c r="D31" s="240"/>
      <c r="E31" s="240"/>
      <c r="F31" s="198">
        <f t="shared" si="4"/>
        <v>0</v>
      </c>
      <c r="G31" s="198">
        <f>IF(F31&gt;0,+F31*(1+'2a. Salaries and Wages Summary'!$P$8),(IF($D31=2,$B31*$C31*52/12,0)))</f>
        <v>0</v>
      </c>
      <c r="H31" s="195">
        <f t="shared" si="3"/>
        <v>0</v>
      </c>
    </row>
    <row r="32" spans="1:13">
      <c r="A32" s="217"/>
      <c r="B32" s="240"/>
      <c r="C32" s="217"/>
      <c r="D32" s="240"/>
      <c r="E32" s="240"/>
      <c r="F32" s="198">
        <f t="shared" si="4"/>
        <v>0</v>
      </c>
      <c r="G32" s="198">
        <f>IF(F32&gt;0,+F32*(1+'2a. Salaries and Wages Summary'!$P$8),(IF($D32=2,$B32*$C32*52/12,0)))</f>
        <v>0</v>
      </c>
      <c r="H32" s="195">
        <f t="shared" si="3"/>
        <v>0</v>
      </c>
    </row>
    <row r="33" spans="1:8">
      <c r="A33" s="217"/>
      <c r="B33" s="242"/>
      <c r="C33" s="217"/>
      <c r="D33" s="240"/>
      <c r="E33" s="240"/>
      <c r="F33" s="198">
        <f t="shared" ref="F33:F43" si="5">IF(D33=1,+C33*B33*52/12,0)</f>
        <v>0</v>
      </c>
      <c r="G33" s="198">
        <f>IF(F33&gt;0,+F33*(1+'2a. Salaries and Wages Summary'!$P$8),(IF($D33=2,$B33*$C33*52/12,0)))</f>
        <v>0</v>
      </c>
      <c r="H33" s="195">
        <f t="shared" si="3"/>
        <v>0</v>
      </c>
    </row>
    <row r="34" spans="1:8">
      <c r="A34" s="217"/>
      <c r="B34" s="242"/>
      <c r="C34" s="217"/>
      <c r="D34" s="240"/>
      <c r="E34" s="240"/>
      <c r="F34" s="198">
        <f t="shared" si="5"/>
        <v>0</v>
      </c>
      <c r="G34" s="198">
        <f>IF(F34&gt;0,+F34*(1+'2a. Salaries and Wages Summary'!$P$8),(IF($D34=2,$B34*$C34*52/12,0)))</f>
        <v>0</v>
      </c>
      <c r="H34" s="195">
        <f t="shared" si="3"/>
        <v>0</v>
      </c>
    </row>
    <row r="35" spans="1:8">
      <c r="A35" s="217"/>
      <c r="B35" s="242"/>
      <c r="C35" s="217"/>
      <c r="D35" s="240"/>
      <c r="E35" s="240"/>
      <c r="F35" s="198">
        <f t="shared" si="5"/>
        <v>0</v>
      </c>
      <c r="G35" s="198">
        <f>IF(F35&gt;0,+F35*(1+'2a. Salaries and Wages Summary'!$P$8),(IF($D35=2,$B35*$C35*52/12,0)))</f>
        <v>0</v>
      </c>
      <c r="H35" s="195">
        <f t="shared" si="3"/>
        <v>0</v>
      </c>
    </row>
    <row r="36" spans="1:8">
      <c r="A36" s="217"/>
      <c r="B36" s="242"/>
      <c r="C36" s="217"/>
      <c r="D36" s="240"/>
      <c r="E36" s="240"/>
      <c r="F36" s="198">
        <f>IF(D36=1,+C36*B36*52/12,0)</f>
        <v>0</v>
      </c>
      <c r="G36" s="198">
        <f>IF(F36&gt;0,+F36*(1+'2a. Salaries and Wages Summary'!$P$8),(IF($D36=2,$B36*$C36*52/12,0)))</f>
        <v>0</v>
      </c>
      <c r="H36" s="195">
        <f t="shared" si="3"/>
        <v>0</v>
      </c>
    </row>
    <row r="37" spans="1:8" ht="12.75" thickBot="1">
      <c r="A37" s="218"/>
      <c r="B37" s="243"/>
      <c r="C37" s="218"/>
      <c r="D37" s="241"/>
      <c r="E37" s="243"/>
      <c r="F37" s="198">
        <f>IF(D37=1,+C37*B37*52/12,0)</f>
        <v>0</v>
      </c>
      <c r="G37" s="198">
        <f>IF(F37&gt;0,+F37*(1+'2a. Salaries and Wages Summary'!$P$8),(IF($D37=2,$B37*$C37*52/12,0)))</f>
        <v>0</v>
      </c>
      <c r="H37" s="195">
        <f t="shared" si="3"/>
        <v>0</v>
      </c>
    </row>
    <row r="38" spans="1:8" ht="12.75" thickBot="1">
      <c r="A38" s="103" t="s">
        <v>22</v>
      </c>
      <c r="B38" s="200"/>
      <c r="C38" s="201"/>
      <c r="D38" s="202"/>
      <c r="E38" s="202"/>
      <c r="F38" s="192">
        <f>SUM(F23:F37)</f>
        <v>0</v>
      </c>
      <c r="G38" s="193">
        <f>SUM(G23:G37)</f>
        <v>0</v>
      </c>
      <c r="H38" s="205">
        <f>SUM(H23:H37)</f>
        <v>0</v>
      </c>
    </row>
    <row r="39" spans="1:8">
      <c r="A39" s="103"/>
      <c r="B39" s="200"/>
      <c r="C39" s="201"/>
      <c r="D39" s="202"/>
      <c r="E39" s="202"/>
      <c r="F39" s="198"/>
      <c r="G39" s="198"/>
      <c r="H39" s="195"/>
    </row>
    <row r="40" spans="1:8">
      <c r="A40" s="203" t="s">
        <v>23</v>
      </c>
      <c r="B40" s="191" t="s">
        <v>15</v>
      </c>
      <c r="C40" s="191" t="s">
        <v>16</v>
      </c>
      <c r="D40" s="190" t="s">
        <v>18</v>
      </c>
      <c r="E40" s="390" t="s">
        <v>411</v>
      </c>
      <c r="F40" s="199"/>
      <c r="G40" s="199"/>
      <c r="H40" s="196"/>
    </row>
    <row r="41" spans="1:8">
      <c r="A41" s="384"/>
      <c r="B41" s="388"/>
      <c r="C41" s="384"/>
      <c r="D41" s="388"/>
      <c r="E41" s="242"/>
      <c r="F41" s="198">
        <f t="shared" si="5"/>
        <v>0</v>
      </c>
      <c r="G41" s="198">
        <f>IF(F41&gt;0,+F41*(1+'2a. Salaries and Wages Summary'!$P$8),(IF($D41=2,$B41*$C41*52/12,0)))</f>
        <v>0</v>
      </c>
      <c r="H41" s="194">
        <f>IF(G41&gt;0,+G41*(1+H$3),(IF($D41=3,$B41*$C41*52/12,0)))</f>
        <v>0</v>
      </c>
    </row>
    <row r="42" spans="1:8">
      <c r="A42" s="386"/>
      <c r="B42" s="389"/>
      <c r="C42" s="386"/>
      <c r="D42" s="389"/>
      <c r="E42" s="242"/>
      <c r="F42" s="198">
        <f t="shared" si="5"/>
        <v>0</v>
      </c>
      <c r="G42" s="198">
        <f>IF(F42&gt;0,+F42*(1+'2a. Salaries and Wages Summary'!$P$8),(IF($D42=2,$B42*$C42*52/12,0)))</f>
        <v>0</v>
      </c>
      <c r="H42" s="195">
        <f t="shared" ref="H42:H49" si="6">IF(G42&gt;0,+G42*(1+H$3),(IF($D42=3,$B42*$C42*52/12,0)))</f>
        <v>0</v>
      </c>
    </row>
    <row r="43" spans="1:8">
      <c r="A43" s="217"/>
      <c r="B43" s="242"/>
      <c r="C43" s="217"/>
      <c r="D43" s="242"/>
      <c r="E43" s="242"/>
      <c r="F43" s="198">
        <f t="shared" si="5"/>
        <v>0</v>
      </c>
      <c r="G43" s="198">
        <f>IF(F43&gt;0,+F43*(1+'2a. Salaries and Wages Summary'!$P$8),(IF($D43=2,$B43*$C43*52/12,0)))</f>
        <v>0</v>
      </c>
      <c r="H43" s="195">
        <f t="shared" si="6"/>
        <v>0</v>
      </c>
    </row>
    <row r="44" spans="1:8">
      <c r="A44" s="217"/>
      <c r="B44" s="242"/>
      <c r="C44" s="217"/>
      <c r="D44" s="242"/>
      <c r="E44" s="242"/>
      <c r="F44" s="198">
        <f t="shared" ref="F44:F49" si="7">IF(D44=1,+C44*B44*52/12,0)</f>
        <v>0</v>
      </c>
      <c r="G44" s="198">
        <f>IF(F44&gt;0,+F44*(1+'2a. Salaries and Wages Summary'!$P$8),(IF($D44=2,$B44*$C44*52/12,0)))</f>
        <v>0</v>
      </c>
      <c r="H44" s="195">
        <f t="shared" si="6"/>
        <v>0</v>
      </c>
    </row>
    <row r="45" spans="1:8">
      <c r="A45" s="217"/>
      <c r="B45" s="242"/>
      <c r="C45" s="217"/>
      <c r="D45" s="242"/>
      <c r="E45" s="242"/>
      <c r="F45" s="198">
        <f t="shared" si="7"/>
        <v>0</v>
      </c>
      <c r="G45" s="198">
        <f>IF(F45&gt;0,+F45*(1+'2a. Salaries and Wages Summary'!$P$8),(IF($D45=2,$B45*$C45*52/12,0)))</f>
        <v>0</v>
      </c>
      <c r="H45" s="195">
        <f t="shared" si="6"/>
        <v>0</v>
      </c>
    </row>
    <row r="46" spans="1:8">
      <c r="A46" s="217"/>
      <c r="B46" s="242"/>
      <c r="C46" s="217"/>
      <c r="D46" s="242"/>
      <c r="E46" s="242"/>
      <c r="F46" s="198">
        <f t="shared" si="7"/>
        <v>0</v>
      </c>
      <c r="G46" s="198">
        <f>IF(F46&gt;0,+F46*(1+'2a. Salaries and Wages Summary'!$P$8),(IF($D46=2,$B46*$C46*52/12,0)))</f>
        <v>0</v>
      </c>
      <c r="H46" s="195">
        <f t="shared" si="6"/>
        <v>0</v>
      </c>
    </row>
    <row r="47" spans="1:8">
      <c r="A47" s="217"/>
      <c r="B47" s="242"/>
      <c r="C47" s="217"/>
      <c r="D47" s="242"/>
      <c r="E47" s="242"/>
      <c r="F47" s="198">
        <f t="shared" si="7"/>
        <v>0</v>
      </c>
      <c r="G47" s="198">
        <f>IF(F47&gt;0,+F47*(1+'2a. Salaries and Wages Summary'!$P$8),(IF($D47=2,$B47*$C47*52/12,0)))</f>
        <v>0</v>
      </c>
      <c r="H47" s="195">
        <f t="shared" si="6"/>
        <v>0</v>
      </c>
    </row>
    <row r="48" spans="1:8">
      <c r="A48" s="217"/>
      <c r="B48" s="242"/>
      <c r="C48" s="217"/>
      <c r="D48" s="242"/>
      <c r="E48" s="242"/>
      <c r="F48" s="198">
        <f t="shared" si="7"/>
        <v>0</v>
      </c>
      <c r="G48" s="198">
        <f>IF(F48&gt;0,+F48*(1+'2a. Salaries and Wages Summary'!$P$8),(IF($D48=2,$B48*$C48*52/12,0)))</f>
        <v>0</v>
      </c>
      <c r="H48" s="195">
        <f t="shared" si="6"/>
        <v>0</v>
      </c>
    </row>
    <row r="49" spans="1:13" ht="12.75" thickBot="1">
      <c r="A49" s="218"/>
      <c r="B49" s="243"/>
      <c r="C49" s="218"/>
      <c r="D49" s="243"/>
      <c r="E49" s="243"/>
      <c r="F49" s="198">
        <f t="shared" si="7"/>
        <v>0</v>
      </c>
      <c r="G49" s="198">
        <f>IF(F49&gt;0,+F49*(1+'2a. Salaries and Wages Summary'!$P$8),(IF($D49=2,$B49*$C49*52/12,0)))</f>
        <v>0</v>
      </c>
      <c r="H49" s="195">
        <f t="shared" si="6"/>
        <v>0</v>
      </c>
    </row>
    <row r="50" spans="1:13" ht="12.75" thickBot="1">
      <c r="A50" s="1" t="s">
        <v>24</v>
      </c>
      <c r="F50" s="192">
        <f>SUM(F41:F49)</f>
        <v>0</v>
      </c>
      <c r="G50" s="192">
        <f>SUM(G41:G49)</f>
        <v>0</v>
      </c>
      <c r="H50" s="206">
        <f>SUM(H41:H49)</f>
        <v>0</v>
      </c>
    </row>
    <row r="51" spans="1:13">
      <c r="F51" s="367"/>
      <c r="G51" s="367"/>
      <c r="H51" s="367"/>
    </row>
    <row r="52" spans="1:13" ht="15.75">
      <c r="A52" s="5" t="s">
        <v>376</v>
      </c>
      <c r="F52" s="367"/>
      <c r="G52" s="367"/>
      <c r="H52" s="367"/>
    </row>
    <row r="53" spans="1:13">
      <c r="F53" s="367"/>
      <c r="G53" s="367"/>
      <c r="H53" s="367"/>
    </row>
    <row r="54" spans="1:13">
      <c r="B54" s="187">
        <v>1</v>
      </c>
      <c r="C54" s="187">
        <v>2</v>
      </c>
      <c r="D54" s="187">
        <v>3</v>
      </c>
      <c r="E54" s="187">
        <v>4</v>
      </c>
      <c r="F54" s="187">
        <v>5</v>
      </c>
      <c r="G54" s="187">
        <v>6</v>
      </c>
      <c r="H54" s="187">
        <v>7</v>
      </c>
      <c r="I54" s="187">
        <v>8</v>
      </c>
      <c r="J54" s="187">
        <v>9</v>
      </c>
      <c r="K54" s="187">
        <v>10</v>
      </c>
      <c r="L54" s="187">
        <v>11</v>
      </c>
      <c r="M54" s="187">
        <v>12</v>
      </c>
    </row>
    <row r="55" spans="1:13">
      <c r="A55" s="1" t="s">
        <v>413</v>
      </c>
      <c r="B55" s="371">
        <f>IF(E6=1,F6,0)</f>
        <v>0</v>
      </c>
      <c r="C55" s="342">
        <f>IF(B55&gt;0,B55,IF($E8=C$54,F6,0))</f>
        <v>0</v>
      </c>
      <c r="D55" s="342">
        <f t="shared" ref="D55:M55" si="8">IF(C55&gt;0,C55,IF($E8=D$54,G6,0))</f>
        <v>0</v>
      </c>
      <c r="E55" s="342">
        <f t="shared" si="8"/>
        <v>0</v>
      </c>
      <c r="F55" s="342">
        <f t="shared" si="8"/>
        <v>0</v>
      </c>
      <c r="G55" s="342">
        <f t="shared" si="8"/>
        <v>0</v>
      </c>
      <c r="H55" s="342">
        <f t="shared" si="8"/>
        <v>0</v>
      </c>
      <c r="I55" s="342">
        <f t="shared" si="8"/>
        <v>0</v>
      </c>
      <c r="J55" s="342">
        <f t="shared" si="8"/>
        <v>0</v>
      </c>
      <c r="K55" s="342">
        <f t="shared" si="8"/>
        <v>0</v>
      </c>
      <c r="L55" s="342">
        <f t="shared" si="8"/>
        <v>0</v>
      </c>
      <c r="M55" s="342">
        <f t="shared" si="8"/>
        <v>0</v>
      </c>
    </row>
    <row r="56" spans="1:13">
      <c r="B56" s="14"/>
      <c r="C56" s="14"/>
      <c r="D56" s="14"/>
      <c r="E56" s="14"/>
      <c r="F56" s="14"/>
      <c r="G56" s="14"/>
      <c r="H56" s="14"/>
      <c r="I56" s="14"/>
      <c r="J56" s="14"/>
      <c r="K56" s="14"/>
      <c r="L56" s="14"/>
      <c r="M56" s="14"/>
    </row>
    <row r="57" spans="1:13">
      <c r="A57" s="372" t="str">
        <f>IF(A$10="","",A$10)</f>
        <v/>
      </c>
      <c r="B57" s="342">
        <f>IF($D10=1, IF($E10=1,$F10,0),0)</f>
        <v>0</v>
      </c>
      <c r="C57" s="342">
        <f>IF(B57&lt;&gt;0,B57,IF($D10=1,IF($E10=C$54,$F10,0),0))</f>
        <v>0</v>
      </c>
      <c r="D57" s="342">
        <f t="shared" ref="D57:M57" si="9">IF(C57&lt;&gt;0,C57,IF($D10=1,IF($E10=D$54,$F10,0),0))</f>
        <v>0</v>
      </c>
      <c r="E57" s="342">
        <f t="shared" si="9"/>
        <v>0</v>
      </c>
      <c r="F57" s="342">
        <f t="shared" si="9"/>
        <v>0</v>
      </c>
      <c r="G57" s="342">
        <f t="shared" si="9"/>
        <v>0</v>
      </c>
      <c r="H57" s="342">
        <f t="shared" si="9"/>
        <v>0</v>
      </c>
      <c r="I57" s="342">
        <f t="shared" si="9"/>
        <v>0</v>
      </c>
      <c r="J57" s="342">
        <f t="shared" si="9"/>
        <v>0</v>
      </c>
      <c r="K57" s="342">
        <f t="shared" si="9"/>
        <v>0</v>
      </c>
      <c r="L57" s="342">
        <f t="shared" si="9"/>
        <v>0</v>
      </c>
      <c r="M57" s="342">
        <f t="shared" si="9"/>
        <v>0</v>
      </c>
    </row>
    <row r="58" spans="1:13">
      <c r="A58" s="372" t="str">
        <f>IF(A11="","",A11)</f>
        <v/>
      </c>
      <c r="B58" s="342">
        <f>IF($D11=1, IF($E11=1,$F11,0),0)</f>
        <v>0</v>
      </c>
      <c r="C58" s="342">
        <f t="shared" ref="C58:M58" si="10">IF(B58&lt;&gt;0,B58,IF($D11=1,IF($E11=C$54,$F11,0),0))</f>
        <v>0</v>
      </c>
      <c r="D58" s="342">
        <f t="shared" si="10"/>
        <v>0</v>
      </c>
      <c r="E58" s="342">
        <f t="shared" si="10"/>
        <v>0</v>
      </c>
      <c r="F58" s="342">
        <f t="shared" si="10"/>
        <v>0</v>
      </c>
      <c r="G58" s="342">
        <f t="shared" si="10"/>
        <v>0</v>
      </c>
      <c r="H58" s="342">
        <f t="shared" si="10"/>
        <v>0</v>
      </c>
      <c r="I58" s="342">
        <f t="shared" si="10"/>
        <v>0</v>
      </c>
      <c r="J58" s="342">
        <f t="shared" si="10"/>
        <v>0</v>
      </c>
      <c r="K58" s="342">
        <f t="shared" si="10"/>
        <v>0</v>
      </c>
      <c r="L58" s="342">
        <f t="shared" si="10"/>
        <v>0</v>
      </c>
      <c r="M58" s="342">
        <f t="shared" si="10"/>
        <v>0</v>
      </c>
    </row>
    <row r="59" spans="1:13">
      <c r="A59" s="372" t="str">
        <f t="shared" ref="A59:A65" si="11">IF(A12="","",A12)</f>
        <v/>
      </c>
      <c r="B59" s="342">
        <f t="shared" ref="B59:B65" si="12">IF($D12=1, IF($E12=1,$F12,0),0)</f>
        <v>0</v>
      </c>
      <c r="C59" s="342">
        <f t="shared" ref="C59:M59" si="13">IF(B59&lt;&gt;0,B59,IF($D12=1,IF($E12=C$54,$F12,0),0))</f>
        <v>0</v>
      </c>
      <c r="D59" s="342">
        <f t="shared" si="13"/>
        <v>0</v>
      </c>
      <c r="E59" s="342">
        <f t="shared" si="13"/>
        <v>0</v>
      </c>
      <c r="F59" s="342">
        <f t="shared" si="13"/>
        <v>0</v>
      </c>
      <c r="G59" s="342">
        <f t="shared" si="13"/>
        <v>0</v>
      </c>
      <c r="H59" s="342">
        <f t="shared" si="13"/>
        <v>0</v>
      </c>
      <c r="I59" s="342">
        <f t="shared" si="13"/>
        <v>0</v>
      </c>
      <c r="J59" s="342">
        <f t="shared" si="13"/>
        <v>0</v>
      </c>
      <c r="K59" s="342">
        <f t="shared" si="13"/>
        <v>0</v>
      </c>
      <c r="L59" s="342">
        <f t="shared" si="13"/>
        <v>0</v>
      </c>
      <c r="M59" s="342">
        <f t="shared" si="13"/>
        <v>0</v>
      </c>
    </row>
    <row r="60" spans="1:13">
      <c r="A60" s="372" t="str">
        <f t="shared" si="11"/>
        <v/>
      </c>
      <c r="B60" s="342">
        <f t="shared" si="12"/>
        <v>0</v>
      </c>
      <c r="C60" s="342">
        <f t="shared" ref="C60:M60" si="14">IF(B60&lt;&gt;0,B60,IF($D13=1,IF($E13=C$54,$F13,0),0))</f>
        <v>0</v>
      </c>
      <c r="D60" s="342">
        <f t="shared" si="14"/>
        <v>0</v>
      </c>
      <c r="E60" s="342">
        <f t="shared" si="14"/>
        <v>0</v>
      </c>
      <c r="F60" s="342">
        <f t="shared" si="14"/>
        <v>0</v>
      </c>
      <c r="G60" s="342">
        <f t="shared" si="14"/>
        <v>0</v>
      </c>
      <c r="H60" s="342">
        <f t="shared" si="14"/>
        <v>0</v>
      </c>
      <c r="I60" s="342">
        <f t="shared" si="14"/>
        <v>0</v>
      </c>
      <c r="J60" s="342">
        <f t="shared" si="14"/>
        <v>0</v>
      </c>
      <c r="K60" s="342">
        <f t="shared" si="14"/>
        <v>0</v>
      </c>
      <c r="L60" s="342">
        <f t="shared" si="14"/>
        <v>0</v>
      </c>
      <c r="M60" s="342">
        <f t="shared" si="14"/>
        <v>0</v>
      </c>
    </row>
    <row r="61" spans="1:13">
      <c r="A61" s="372" t="str">
        <f t="shared" si="11"/>
        <v/>
      </c>
      <c r="B61" s="342">
        <f t="shared" si="12"/>
        <v>0</v>
      </c>
      <c r="C61" s="342">
        <f t="shared" ref="C61:M61" si="15">IF(B61&lt;&gt;0,B61,IF($D14=1,IF($E14=C$54,$F14,0),0))</f>
        <v>0</v>
      </c>
      <c r="D61" s="342">
        <f t="shared" si="15"/>
        <v>0</v>
      </c>
      <c r="E61" s="342">
        <f t="shared" si="15"/>
        <v>0</v>
      </c>
      <c r="F61" s="342">
        <f t="shared" si="15"/>
        <v>0</v>
      </c>
      <c r="G61" s="342">
        <f t="shared" si="15"/>
        <v>0</v>
      </c>
      <c r="H61" s="342">
        <f t="shared" si="15"/>
        <v>0</v>
      </c>
      <c r="I61" s="342">
        <f t="shared" si="15"/>
        <v>0</v>
      </c>
      <c r="J61" s="342">
        <f t="shared" si="15"/>
        <v>0</v>
      </c>
      <c r="K61" s="342">
        <f t="shared" si="15"/>
        <v>0</v>
      </c>
      <c r="L61" s="342">
        <f t="shared" si="15"/>
        <v>0</v>
      </c>
      <c r="M61" s="342">
        <f t="shared" si="15"/>
        <v>0</v>
      </c>
    </row>
    <row r="62" spans="1:13">
      <c r="A62" s="372" t="str">
        <f t="shared" si="11"/>
        <v/>
      </c>
      <c r="B62" s="342">
        <f t="shared" si="12"/>
        <v>0</v>
      </c>
      <c r="C62" s="342">
        <f t="shared" ref="C62:M62" si="16">IF(B62&lt;&gt;0,B62,IF($D15=1,IF($E15=C$54,$F15,0),0))</f>
        <v>0</v>
      </c>
      <c r="D62" s="342">
        <f t="shared" si="16"/>
        <v>0</v>
      </c>
      <c r="E62" s="342">
        <f t="shared" si="16"/>
        <v>0</v>
      </c>
      <c r="F62" s="342">
        <f t="shared" si="16"/>
        <v>0</v>
      </c>
      <c r="G62" s="342">
        <f t="shared" si="16"/>
        <v>0</v>
      </c>
      <c r="H62" s="342">
        <f t="shared" si="16"/>
        <v>0</v>
      </c>
      <c r="I62" s="342">
        <f t="shared" si="16"/>
        <v>0</v>
      </c>
      <c r="J62" s="342">
        <f t="shared" si="16"/>
        <v>0</v>
      </c>
      <c r="K62" s="342">
        <f t="shared" si="16"/>
        <v>0</v>
      </c>
      <c r="L62" s="342">
        <f t="shared" si="16"/>
        <v>0</v>
      </c>
      <c r="M62" s="342">
        <f t="shared" si="16"/>
        <v>0</v>
      </c>
    </row>
    <row r="63" spans="1:13">
      <c r="A63" s="372" t="str">
        <f t="shared" si="11"/>
        <v/>
      </c>
      <c r="B63" s="342">
        <f t="shared" si="12"/>
        <v>0</v>
      </c>
      <c r="C63" s="342">
        <f t="shared" ref="C63:M63" si="17">IF(B63&lt;&gt;0,B63,IF($D16=1,IF($E16=C$54,$F16,0),0))</f>
        <v>0</v>
      </c>
      <c r="D63" s="342">
        <f t="shared" si="17"/>
        <v>0</v>
      </c>
      <c r="E63" s="342">
        <f t="shared" si="17"/>
        <v>0</v>
      </c>
      <c r="F63" s="342">
        <f t="shared" si="17"/>
        <v>0</v>
      </c>
      <c r="G63" s="342">
        <f t="shared" si="17"/>
        <v>0</v>
      </c>
      <c r="H63" s="342">
        <f t="shared" si="17"/>
        <v>0</v>
      </c>
      <c r="I63" s="342">
        <f t="shared" si="17"/>
        <v>0</v>
      </c>
      <c r="J63" s="342">
        <f t="shared" si="17"/>
        <v>0</v>
      </c>
      <c r="K63" s="342">
        <f t="shared" si="17"/>
        <v>0</v>
      </c>
      <c r="L63" s="342">
        <f t="shared" si="17"/>
        <v>0</v>
      </c>
      <c r="M63" s="342">
        <f t="shared" si="17"/>
        <v>0</v>
      </c>
    </row>
    <row r="64" spans="1:13">
      <c r="A64" s="372" t="str">
        <f t="shared" si="11"/>
        <v/>
      </c>
      <c r="B64" s="342">
        <f t="shared" si="12"/>
        <v>0</v>
      </c>
      <c r="C64" s="342">
        <f t="shared" ref="C64:M64" si="18">IF(B64&lt;&gt;0,B64,IF($D17=1,IF($E17=C$54,$F17,0),0))</f>
        <v>0</v>
      </c>
      <c r="D64" s="342">
        <f t="shared" si="18"/>
        <v>0</v>
      </c>
      <c r="E64" s="342">
        <f t="shared" si="18"/>
        <v>0</v>
      </c>
      <c r="F64" s="342">
        <f t="shared" si="18"/>
        <v>0</v>
      </c>
      <c r="G64" s="342">
        <f t="shared" si="18"/>
        <v>0</v>
      </c>
      <c r="H64" s="342">
        <f t="shared" si="18"/>
        <v>0</v>
      </c>
      <c r="I64" s="342">
        <f t="shared" si="18"/>
        <v>0</v>
      </c>
      <c r="J64" s="342">
        <f t="shared" si="18"/>
        <v>0</v>
      </c>
      <c r="K64" s="342">
        <f t="shared" si="18"/>
        <v>0</v>
      </c>
      <c r="L64" s="342">
        <f t="shared" si="18"/>
        <v>0</v>
      </c>
      <c r="M64" s="342">
        <f t="shared" si="18"/>
        <v>0</v>
      </c>
    </row>
    <row r="65" spans="1:13" ht="14.25">
      <c r="A65" s="372" t="str">
        <f t="shared" si="11"/>
        <v/>
      </c>
      <c r="B65" s="374">
        <f t="shared" si="12"/>
        <v>0</v>
      </c>
      <c r="C65" s="402">
        <f t="shared" ref="C65:M65" si="19">IF(B65&lt;&gt;0,B65,IF($D18=1,IF($E18=C$54,$F18,0),0))</f>
        <v>0</v>
      </c>
      <c r="D65" s="402">
        <f t="shared" si="19"/>
        <v>0</v>
      </c>
      <c r="E65" s="402">
        <f t="shared" si="19"/>
        <v>0</v>
      </c>
      <c r="F65" s="402">
        <f t="shared" si="19"/>
        <v>0</v>
      </c>
      <c r="G65" s="402">
        <f t="shared" si="19"/>
        <v>0</v>
      </c>
      <c r="H65" s="402">
        <f t="shared" si="19"/>
        <v>0</v>
      </c>
      <c r="I65" s="402">
        <f t="shared" si="19"/>
        <v>0</v>
      </c>
      <c r="J65" s="402">
        <f t="shared" si="19"/>
        <v>0</v>
      </c>
      <c r="K65" s="402">
        <f t="shared" si="19"/>
        <v>0</v>
      </c>
      <c r="L65" s="402">
        <f t="shared" si="19"/>
        <v>0</v>
      </c>
      <c r="M65" s="402">
        <f t="shared" si="19"/>
        <v>0</v>
      </c>
    </row>
    <row r="66" spans="1:13">
      <c r="A66" s="368" t="str">
        <f>+A19</f>
        <v>Total Salaried</v>
      </c>
      <c r="B66" s="342">
        <f>SUM(B57:B65)</f>
        <v>0</v>
      </c>
      <c r="C66" s="342">
        <f t="shared" ref="C66:M66" si="20">SUM(C57:C65)</f>
        <v>0</v>
      </c>
      <c r="D66" s="342">
        <f t="shared" si="20"/>
        <v>0</v>
      </c>
      <c r="E66" s="342">
        <f t="shared" si="20"/>
        <v>0</v>
      </c>
      <c r="F66" s="342">
        <f t="shared" si="20"/>
        <v>0</v>
      </c>
      <c r="G66" s="342">
        <f t="shared" si="20"/>
        <v>0</v>
      </c>
      <c r="H66" s="342">
        <f t="shared" si="20"/>
        <v>0</v>
      </c>
      <c r="I66" s="342">
        <f t="shared" si="20"/>
        <v>0</v>
      </c>
      <c r="J66" s="342">
        <f t="shared" si="20"/>
        <v>0</v>
      </c>
      <c r="K66" s="342">
        <f t="shared" si="20"/>
        <v>0</v>
      </c>
      <c r="L66" s="342">
        <f t="shared" si="20"/>
        <v>0</v>
      </c>
      <c r="M66" s="342">
        <f t="shared" si="20"/>
        <v>0</v>
      </c>
    </row>
    <row r="67" spans="1:13">
      <c r="A67" s="368"/>
      <c r="B67" s="342"/>
      <c r="C67" s="342"/>
      <c r="D67" s="342"/>
      <c r="E67" s="342"/>
      <c r="F67" s="342"/>
      <c r="G67" s="342"/>
      <c r="H67" s="342"/>
      <c r="I67" s="342"/>
      <c r="J67" s="342"/>
      <c r="K67" s="342"/>
      <c r="L67" s="342"/>
      <c r="M67" s="342"/>
    </row>
    <row r="68" spans="1:13">
      <c r="A68" s="368"/>
      <c r="B68" s="342"/>
      <c r="C68" s="342"/>
      <c r="D68" s="342"/>
      <c r="E68" s="342"/>
      <c r="F68" s="342"/>
      <c r="G68" s="342"/>
      <c r="H68" s="342"/>
      <c r="I68" s="342"/>
      <c r="J68" s="342"/>
      <c r="K68" s="342"/>
      <c r="L68" s="342"/>
      <c r="M68" s="342"/>
    </row>
    <row r="69" spans="1:13" ht="12.75">
      <c r="A69" s="377" t="str">
        <f>+A22</f>
        <v>Full Time Hourly Job Title</v>
      </c>
      <c r="B69" s="342"/>
      <c r="C69" s="342"/>
      <c r="D69" s="342"/>
      <c r="E69" s="342"/>
      <c r="F69" s="342"/>
      <c r="G69" s="342"/>
      <c r="H69" s="342"/>
      <c r="I69" s="342"/>
      <c r="J69" s="342"/>
      <c r="K69" s="342"/>
      <c r="L69" s="342"/>
      <c r="M69" s="342"/>
    </row>
    <row r="70" spans="1:13">
      <c r="A70" s="372" t="str">
        <f t="shared" ref="A70:A84" si="21">IF(A23="","",A23)</f>
        <v/>
      </c>
      <c r="B70" s="92">
        <f>IF($D23=1,IF($E23=B$54,(B23*C23)*52/12,0),0)</f>
        <v>0</v>
      </c>
      <c r="C70" s="342">
        <f>IF(B70&lt;&gt;0,B70,IF($D23=1,IF($E23=C$54,($B23*$C23)*52/12,0),0))</f>
        <v>0</v>
      </c>
      <c r="D70" s="342">
        <f>IF(C70&lt;&gt;0,C70,IF($D23=1,IF($E23=D$54,($B23*$C23)*52/12,0),0))</f>
        <v>0</v>
      </c>
      <c r="E70" s="342">
        <f t="shared" ref="E70:M70" si="22">IF(D70&lt;&gt;0,D70,IF($D23=1,IF($E23=E$54,($B23*$C23)*52/12,0),0))</f>
        <v>0</v>
      </c>
      <c r="F70" s="342">
        <f t="shared" si="22"/>
        <v>0</v>
      </c>
      <c r="G70" s="342">
        <f t="shared" si="22"/>
        <v>0</v>
      </c>
      <c r="H70" s="342">
        <f t="shared" si="22"/>
        <v>0</v>
      </c>
      <c r="I70" s="342">
        <f t="shared" si="22"/>
        <v>0</v>
      </c>
      <c r="J70" s="342">
        <f t="shared" si="22"/>
        <v>0</v>
      </c>
      <c r="K70" s="342">
        <f t="shared" si="22"/>
        <v>0</v>
      </c>
      <c r="L70" s="342">
        <f t="shared" si="22"/>
        <v>0</v>
      </c>
      <c r="M70" s="342">
        <f t="shared" si="22"/>
        <v>0</v>
      </c>
    </row>
    <row r="71" spans="1:13">
      <c r="A71" s="372" t="str">
        <f t="shared" si="21"/>
        <v/>
      </c>
      <c r="B71" s="92">
        <f>IF($D24=1,IF($E24=B$54,($B24*$C24)*52/12,0),0)</f>
        <v>0</v>
      </c>
      <c r="C71" s="342">
        <f t="shared" ref="C71:M71" si="23">IF(B71&lt;&gt;0,B71,IF($D24=1,IF($E24=C$54,($B24*$C24)*52/12,0),0))</f>
        <v>0</v>
      </c>
      <c r="D71" s="342">
        <f t="shared" si="23"/>
        <v>0</v>
      </c>
      <c r="E71" s="342">
        <f t="shared" si="23"/>
        <v>0</v>
      </c>
      <c r="F71" s="342">
        <f t="shared" si="23"/>
        <v>0</v>
      </c>
      <c r="G71" s="342">
        <f t="shared" si="23"/>
        <v>0</v>
      </c>
      <c r="H71" s="342">
        <f t="shared" si="23"/>
        <v>0</v>
      </c>
      <c r="I71" s="342">
        <f t="shared" si="23"/>
        <v>0</v>
      </c>
      <c r="J71" s="342">
        <f t="shared" si="23"/>
        <v>0</v>
      </c>
      <c r="K71" s="342">
        <f t="shared" si="23"/>
        <v>0</v>
      </c>
      <c r="L71" s="342">
        <f t="shared" si="23"/>
        <v>0</v>
      </c>
      <c r="M71" s="342">
        <f t="shared" si="23"/>
        <v>0</v>
      </c>
    </row>
    <row r="72" spans="1:13">
      <c r="A72" s="372" t="str">
        <f t="shared" si="21"/>
        <v/>
      </c>
      <c r="B72" s="92">
        <f t="shared" ref="B72:B84" si="24">IF($D25=1,IF($E25=B$54,($B25*$C25)*52/12,0),0)</f>
        <v>0</v>
      </c>
      <c r="C72" s="342">
        <f t="shared" ref="C72:M72" si="25">IF(B72&lt;&gt;0,B72,IF($D25=1,IF($E25=C$54,($B25*$C25)*52/12,0),0))</f>
        <v>0</v>
      </c>
      <c r="D72" s="342">
        <f t="shared" si="25"/>
        <v>0</v>
      </c>
      <c r="E72" s="342">
        <f t="shared" si="25"/>
        <v>0</v>
      </c>
      <c r="F72" s="342">
        <f t="shared" si="25"/>
        <v>0</v>
      </c>
      <c r="G72" s="342">
        <f t="shared" si="25"/>
        <v>0</v>
      </c>
      <c r="H72" s="342">
        <f t="shared" si="25"/>
        <v>0</v>
      </c>
      <c r="I72" s="342">
        <f t="shared" si="25"/>
        <v>0</v>
      </c>
      <c r="J72" s="342">
        <f t="shared" si="25"/>
        <v>0</v>
      </c>
      <c r="K72" s="342">
        <f t="shared" si="25"/>
        <v>0</v>
      </c>
      <c r="L72" s="342">
        <f t="shared" si="25"/>
        <v>0</v>
      </c>
      <c r="M72" s="342">
        <f t="shared" si="25"/>
        <v>0</v>
      </c>
    </row>
    <row r="73" spans="1:13">
      <c r="A73" s="372" t="str">
        <f t="shared" si="21"/>
        <v/>
      </c>
      <c r="B73" s="92">
        <f t="shared" si="24"/>
        <v>0</v>
      </c>
      <c r="C73" s="342">
        <f t="shared" ref="C73:M73" si="26">IF(B73&lt;&gt;0,B73,IF($D26=1,IF($E26=C$54,($B26*$C26)*52/12,0),0))</f>
        <v>0</v>
      </c>
      <c r="D73" s="342">
        <f t="shared" si="26"/>
        <v>0</v>
      </c>
      <c r="E73" s="342">
        <f t="shared" si="26"/>
        <v>0</v>
      </c>
      <c r="F73" s="342">
        <f t="shared" si="26"/>
        <v>0</v>
      </c>
      <c r="G73" s="342">
        <f t="shared" si="26"/>
        <v>0</v>
      </c>
      <c r="H73" s="342">
        <f t="shared" si="26"/>
        <v>0</v>
      </c>
      <c r="I73" s="342">
        <f t="shared" si="26"/>
        <v>0</v>
      </c>
      <c r="J73" s="342">
        <f t="shared" si="26"/>
        <v>0</v>
      </c>
      <c r="K73" s="342">
        <f t="shared" si="26"/>
        <v>0</v>
      </c>
      <c r="L73" s="342">
        <f t="shared" si="26"/>
        <v>0</v>
      </c>
      <c r="M73" s="342">
        <f t="shared" si="26"/>
        <v>0</v>
      </c>
    </row>
    <row r="74" spans="1:13">
      <c r="A74" s="372" t="str">
        <f t="shared" si="21"/>
        <v/>
      </c>
      <c r="B74" s="92">
        <f t="shared" si="24"/>
        <v>0</v>
      </c>
      <c r="C74" s="342">
        <f t="shared" ref="C74:M74" si="27">IF(B74&lt;&gt;0,B74,IF($D27=1,IF($E27=C$54,($B27*$C27)*52/12,0),0))</f>
        <v>0</v>
      </c>
      <c r="D74" s="342">
        <f t="shared" si="27"/>
        <v>0</v>
      </c>
      <c r="E74" s="342">
        <f t="shared" si="27"/>
        <v>0</v>
      </c>
      <c r="F74" s="342">
        <f t="shared" si="27"/>
        <v>0</v>
      </c>
      <c r="G74" s="342">
        <f t="shared" si="27"/>
        <v>0</v>
      </c>
      <c r="H74" s="342">
        <f t="shared" si="27"/>
        <v>0</v>
      </c>
      <c r="I74" s="342">
        <f t="shared" si="27"/>
        <v>0</v>
      </c>
      <c r="J74" s="342">
        <f t="shared" si="27"/>
        <v>0</v>
      </c>
      <c r="K74" s="342">
        <f t="shared" si="27"/>
        <v>0</v>
      </c>
      <c r="L74" s="342">
        <f t="shared" si="27"/>
        <v>0</v>
      </c>
      <c r="M74" s="342">
        <f t="shared" si="27"/>
        <v>0</v>
      </c>
    </row>
    <row r="75" spans="1:13">
      <c r="A75" s="372" t="str">
        <f t="shared" si="21"/>
        <v/>
      </c>
      <c r="B75" s="92">
        <f t="shared" si="24"/>
        <v>0</v>
      </c>
      <c r="C75" s="342">
        <f t="shared" ref="C75:M75" si="28">IF(B75&lt;&gt;0,B75,IF($D28=1,IF($E28=C$54,($B28*$C28)*52/12,0),0))</f>
        <v>0</v>
      </c>
      <c r="D75" s="342">
        <f t="shared" si="28"/>
        <v>0</v>
      </c>
      <c r="E75" s="342">
        <f t="shared" si="28"/>
        <v>0</v>
      </c>
      <c r="F75" s="342">
        <f t="shared" si="28"/>
        <v>0</v>
      </c>
      <c r="G75" s="342">
        <f t="shared" si="28"/>
        <v>0</v>
      </c>
      <c r="H75" s="342">
        <f t="shared" si="28"/>
        <v>0</v>
      </c>
      <c r="I75" s="342">
        <f t="shared" si="28"/>
        <v>0</v>
      </c>
      <c r="J75" s="342">
        <f t="shared" si="28"/>
        <v>0</v>
      </c>
      <c r="K75" s="342">
        <f t="shared" si="28"/>
        <v>0</v>
      </c>
      <c r="L75" s="342">
        <f t="shared" si="28"/>
        <v>0</v>
      </c>
      <c r="M75" s="342">
        <f t="shared" si="28"/>
        <v>0</v>
      </c>
    </row>
    <row r="76" spans="1:13">
      <c r="A76" s="372" t="str">
        <f t="shared" si="21"/>
        <v/>
      </c>
      <c r="B76" s="92">
        <f t="shared" si="24"/>
        <v>0</v>
      </c>
      <c r="C76" s="342">
        <f t="shared" ref="C76:M76" si="29">IF(B76&lt;&gt;0,B76,IF($D29=1,IF($E29=C$54,($B29*$C29)*52/12,0),0))</f>
        <v>0</v>
      </c>
      <c r="D76" s="342">
        <f t="shared" si="29"/>
        <v>0</v>
      </c>
      <c r="E76" s="342">
        <f t="shared" si="29"/>
        <v>0</v>
      </c>
      <c r="F76" s="342">
        <f t="shared" si="29"/>
        <v>0</v>
      </c>
      <c r="G76" s="342">
        <f t="shared" si="29"/>
        <v>0</v>
      </c>
      <c r="H76" s="342">
        <f t="shared" si="29"/>
        <v>0</v>
      </c>
      <c r="I76" s="342">
        <f t="shared" si="29"/>
        <v>0</v>
      </c>
      <c r="J76" s="342">
        <f t="shared" si="29"/>
        <v>0</v>
      </c>
      <c r="K76" s="342">
        <f t="shared" si="29"/>
        <v>0</v>
      </c>
      <c r="L76" s="342">
        <f t="shared" si="29"/>
        <v>0</v>
      </c>
      <c r="M76" s="342">
        <f t="shared" si="29"/>
        <v>0</v>
      </c>
    </row>
    <row r="77" spans="1:13">
      <c r="A77" s="372" t="str">
        <f t="shared" si="21"/>
        <v/>
      </c>
      <c r="B77" s="92">
        <f t="shared" si="24"/>
        <v>0</v>
      </c>
      <c r="C77" s="342">
        <f t="shared" ref="C77:M77" si="30">IF(B77&lt;&gt;0,B77,IF($D30=1,IF($E30=C$54,($B30*$C30)*52/12,0),0))</f>
        <v>0</v>
      </c>
      <c r="D77" s="342">
        <f t="shared" si="30"/>
        <v>0</v>
      </c>
      <c r="E77" s="342">
        <f t="shared" si="30"/>
        <v>0</v>
      </c>
      <c r="F77" s="342">
        <f t="shared" si="30"/>
        <v>0</v>
      </c>
      <c r="G77" s="342">
        <f t="shared" si="30"/>
        <v>0</v>
      </c>
      <c r="H77" s="342">
        <f t="shared" si="30"/>
        <v>0</v>
      </c>
      <c r="I77" s="342">
        <f t="shared" si="30"/>
        <v>0</v>
      </c>
      <c r="J77" s="342">
        <f t="shared" si="30"/>
        <v>0</v>
      </c>
      <c r="K77" s="342">
        <f t="shared" si="30"/>
        <v>0</v>
      </c>
      <c r="L77" s="342">
        <f t="shared" si="30"/>
        <v>0</v>
      </c>
      <c r="M77" s="342">
        <f t="shared" si="30"/>
        <v>0</v>
      </c>
    </row>
    <row r="78" spans="1:13">
      <c r="A78" s="372" t="str">
        <f t="shared" si="21"/>
        <v/>
      </c>
      <c r="B78" s="92">
        <f t="shared" si="24"/>
        <v>0</v>
      </c>
      <c r="C78" s="342">
        <f t="shared" ref="C78:M78" si="31">IF(B78&lt;&gt;0,B78,IF($D31=1,IF($E31=C$54,($B31*$C31)*52/12,0),0))</f>
        <v>0</v>
      </c>
      <c r="D78" s="342">
        <f t="shared" si="31"/>
        <v>0</v>
      </c>
      <c r="E78" s="342">
        <f t="shared" si="31"/>
        <v>0</v>
      </c>
      <c r="F78" s="342">
        <f t="shared" si="31"/>
        <v>0</v>
      </c>
      <c r="G78" s="342">
        <f t="shared" si="31"/>
        <v>0</v>
      </c>
      <c r="H78" s="342">
        <f t="shared" si="31"/>
        <v>0</v>
      </c>
      <c r="I78" s="342">
        <f t="shared" si="31"/>
        <v>0</v>
      </c>
      <c r="J78" s="342">
        <f t="shared" si="31"/>
        <v>0</v>
      </c>
      <c r="K78" s="342">
        <f t="shared" si="31"/>
        <v>0</v>
      </c>
      <c r="L78" s="342">
        <f t="shared" si="31"/>
        <v>0</v>
      </c>
      <c r="M78" s="342">
        <f t="shared" si="31"/>
        <v>0</v>
      </c>
    </row>
    <row r="79" spans="1:13">
      <c r="A79" s="372" t="str">
        <f t="shared" si="21"/>
        <v/>
      </c>
      <c r="B79" s="92">
        <f t="shared" si="24"/>
        <v>0</v>
      </c>
      <c r="C79" s="342">
        <f t="shared" ref="C79:M79" si="32">IF(B79&lt;&gt;0,B79,IF($D32=1,IF($E32=C$54,($B32*$C32)*52/12,0),0))</f>
        <v>0</v>
      </c>
      <c r="D79" s="342">
        <f t="shared" si="32"/>
        <v>0</v>
      </c>
      <c r="E79" s="342">
        <f t="shared" si="32"/>
        <v>0</v>
      </c>
      <c r="F79" s="342">
        <f t="shared" si="32"/>
        <v>0</v>
      </c>
      <c r="G79" s="342">
        <f t="shared" si="32"/>
        <v>0</v>
      </c>
      <c r="H79" s="342">
        <f t="shared" si="32"/>
        <v>0</v>
      </c>
      <c r="I79" s="342">
        <f t="shared" si="32"/>
        <v>0</v>
      </c>
      <c r="J79" s="342">
        <f t="shared" si="32"/>
        <v>0</v>
      </c>
      <c r="K79" s="342">
        <f t="shared" si="32"/>
        <v>0</v>
      </c>
      <c r="L79" s="342">
        <f t="shared" si="32"/>
        <v>0</v>
      </c>
      <c r="M79" s="342">
        <f t="shared" si="32"/>
        <v>0</v>
      </c>
    </row>
    <row r="80" spans="1:13">
      <c r="A80" s="372" t="str">
        <f t="shared" si="21"/>
        <v/>
      </c>
      <c r="B80" s="92">
        <f t="shared" si="24"/>
        <v>0</v>
      </c>
      <c r="C80" s="342">
        <f t="shared" ref="C80:M80" si="33">IF(B80&lt;&gt;0,B80,IF($D33=1,IF($E33=C$54,($B33*$C33)*52/12,0),0))</f>
        <v>0</v>
      </c>
      <c r="D80" s="342">
        <f t="shared" si="33"/>
        <v>0</v>
      </c>
      <c r="E80" s="342">
        <f t="shared" si="33"/>
        <v>0</v>
      </c>
      <c r="F80" s="342">
        <f t="shared" si="33"/>
        <v>0</v>
      </c>
      <c r="G80" s="342">
        <f t="shared" si="33"/>
        <v>0</v>
      </c>
      <c r="H80" s="342">
        <f t="shared" si="33"/>
        <v>0</v>
      </c>
      <c r="I80" s="342">
        <f t="shared" si="33"/>
        <v>0</v>
      </c>
      <c r="J80" s="342">
        <f t="shared" si="33"/>
        <v>0</v>
      </c>
      <c r="K80" s="342">
        <f t="shared" si="33"/>
        <v>0</v>
      </c>
      <c r="L80" s="342">
        <f t="shared" si="33"/>
        <v>0</v>
      </c>
      <c r="M80" s="342">
        <f t="shared" si="33"/>
        <v>0</v>
      </c>
    </row>
    <row r="81" spans="1:13">
      <c r="A81" s="372" t="str">
        <f t="shared" si="21"/>
        <v/>
      </c>
      <c r="B81" s="92">
        <f t="shared" si="24"/>
        <v>0</v>
      </c>
      <c r="C81" s="342">
        <f t="shared" ref="C81:M81" si="34">IF(B81&lt;&gt;0,B81,IF($D34=1,IF($E34=C$54,($B34*$C34)*52/12,0),0))</f>
        <v>0</v>
      </c>
      <c r="D81" s="342">
        <f t="shared" si="34"/>
        <v>0</v>
      </c>
      <c r="E81" s="342">
        <f t="shared" si="34"/>
        <v>0</v>
      </c>
      <c r="F81" s="342">
        <f t="shared" si="34"/>
        <v>0</v>
      </c>
      <c r="G81" s="342">
        <f t="shared" si="34"/>
        <v>0</v>
      </c>
      <c r="H81" s="342">
        <f t="shared" si="34"/>
        <v>0</v>
      </c>
      <c r="I81" s="342">
        <f t="shared" si="34"/>
        <v>0</v>
      </c>
      <c r="J81" s="342">
        <f t="shared" si="34"/>
        <v>0</v>
      </c>
      <c r="K81" s="342">
        <f t="shared" si="34"/>
        <v>0</v>
      </c>
      <c r="L81" s="342">
        <f t="shared" si="34"/>
        <v>0</v>
      </c>
      <c r="M81" s="342">
        <f t="shared" si="34"/>
        <v>0</v>
      </c>
    </row>
    <row r="82" spans="1:13">
      <c r="A82" s="372" t="str">
        <f t="shared" si="21"/>
        <v/>
      </c>
      <c r="B82" s="92">
        <f t="shared" si="24"/>
        <v>0</v>
      </c>
      <c r="C82" s="342">
        <f t="shared" ref="C82:M82" si="35">IF(B82&lt;&gt;0,B82,IF($D35=1,IF($E35=C$54,($B35*$C35)*52/12,0),0))</f>
        <v>0</v>
      </c>
      <c r="D82" s="342">
        <f t="shared" si="35"/>
        <v>0</v>
      </c>
      <c r="E82" s="342">
        <f t="shared" si="35"/>
        <v>0</v>
      </c>
      <c r="F82" s="342">
        <f t="shared" si="35"/>
        <v>0</v>
      </c>
      <c r="G82" s="342">
        <f t="shared" si="35"/>
        <v>0</v>
      </c>
      <c r="H82" s="342">
        <f t="shared" si="35"/>
        <v>0</v>
      </c>
      <c r="I82" s="342">
        <f t="shared" si="35"/>
        <v>0</v>
      </c>
      <c r="J82" s="342">
        <f t="shared" si="35"/>
        <v>0</v>
      </c>
      <c r="K82" s="342">
        <f t="shared" si="35"/>
        <v>0</v>
      </c>
      <c r="L82" s="342">
        <f t="shared" si="35"/>
        <v>0</v>
      </c>
      <c r="M82" s="342">
        <f t="shared" si="35"/>
        <v>0</v>
      </c>
    </row>
    <row r="83" spans="1:13">
      <c r="A83" s="372" t="str">
        <f t="shared" si="21"/>
        <v/>
      </c>
      <c r="B83" s="92">
        <f t="shared" si="24"/>
        <v>0</v>
      </c>
      <c r="C83" s="342">
        <f t="shared" ref="C83:M83" si="36">IF(B83&lt;&gt;0,B83,IF($D36=1,IF($E36=C$54,($B36*$C36)*52/12,0),0))</f>
        <v>0</v>
      </c>
      <c r="D83" s="342">
        <f t="shared" si="36"/>
        <v>0</v>
      </c>
      <c r="E83" s="342">
        <f t="shared" si="36"/>
        <v>0</v>
      </c>
      <c r="F83" s="342">
        <f t="shared" si="36"/>
        <v>0</v>
      </c>
      <c r="G83" s="342">
        <f t="shared" si="36"/>
        <v>0</v>
      </c>
      <c r="H83" s="342">
        <f t="shared" si="36"/>
        <v>0</v>
      </c>
      <c r="I83" s="342">
        <f t="shared" si="36"/>
        <v>0</v>
      </c>
      <c r="J83" s="342">
        <f t="shared" si="36"/>
        <v>0</v>
      </c>
      <c r="K83" s="342">
        <f t="shared" si="36"/>
        <v>0</v>
      </c>
      <c r="L83" s="342">
        <f t="shared" si="36"/>
        <v>0</v>
      </c>
      <c r="M83" s="342">
        <f t="shared" si="36"/>
        <v>0</v>
      </c>
    </row>
    <row r="84" spans="1:13">
      <c r="A84" s="372" t="str">
        <f t="shared" si="21"/>
        <v/>
      </c>
      <c r="B84" s="369">
        <f t="shared" si="24"/>
        <v>0</v>
      </c>
      <c r="C84" s="374">
        <f t="shared" ref="C84:M84" si="37">IF(B84&lt;&gt;0,B84,IF($D37=1,IF($E37=C$54,($B37*$C37)*52/12,0),0))</f>
        <v>0</v>
      </c>
      <c r="D84" s="374">
        <f t="shared" si="37"/>
        <v>0</v>
      </c>
      <c r="E84" s="374">
        <f t="shared" si="37"/>
        <v>0</v>
      </c>
      <c r="F84" s="374">
        <f t="shared" si="37"/>
        <v>0</v>
      </c>
      <c r="G84" s="374">
        <f t="shared" si="37"/>
        <v>0</v>
      </c>
      <c r="H84" s="374">
        <f t="shared" si="37"/>
        <v>0</v>
      </c>
      <c r="I84" s="374">
        <f t="shared" si="37"/>
        <v>0</v>
      </c>
      <c r="J84" s="374">
        <f t="shared" si="37"/>
        <v>0</v>
      </c>
      <c r="K84" s="374">
        <f t="shared" si="37"/>
        <v>0</v>
      </c>
      <c r="L84" s="374">
        <f t="shared" si="37"/>
        <v>0</v>
      </c>
      <c r="M84" s="374">
        <f t="shared" si="37"/>
        <v>0</v>
      </c>
    </row>
    <row r="85" spans="1:13">
      <c r="A85" s="368" t="str">
        <f>+A38</f>
        <v>Total Full Time</v>
      </c>
      <c r="B85" s="370">
        <f>SUM(B70:B84)</f>
        <v>0</v>
      </c>
      <c r="C85" s="370">
        <f t="shared" ref="C85:M85" si="38">SUM(C70:C84)</f>
        <v>0</v>
      </c>
      <c r="D85" s="370">
        <f t="shared" si="38"/>
        <v>0</v>
      </c>
      <c r="E85" s="370">
        <f t="shared" si="38"/>
        <v>0</v>
      </c>
      <c r="F85" s="370">
        <f t="shared" si="38"/>
        <v>0</v>
      </c>
      <c r="G85" s="370">
        <f t="shared" si="38"/>
        <v>0</v>
      </c>
      <c r="H85" s="370">
        <f t="shared" si="38"/>
        <v>0</v>
      </c>
      <c r="I85" s="370">
        <f t="shared" si="38"/>
        <v>0</v>
      </c>
      <c r="J85" s="370">
        <f t="shared" si="38"/>
        <v>0</v>
      </c>
      <c r="K85" s="370">
        <f t="shared" si="38"/>
        <v>0</v>
      </c>
      <c r="L85" s="370">
        <f t="shared" si="38"/>
        <v>0</v>
      </c>
      <c r="M85" s="370">
        <f t="shared" si="38"/>
        <v>0</v>
      </c>
    </row>
    <row r="86" spans="1:13">
      <c r="A86" s="368"/>
    </row>
    <row r="87" spans="1:13" ht="15">
      <c r="A87" s="376" t="str">
        <f>+A40</f>
        <v>Part time Hourly Job Title</v>
      </c>
    </row>
    <row r="88" spans="1:13">
      <c r="A88" s="372" t="str">
        <f t="shared" ref="A88:A96" si="39">IF(A41="","",A41)</f>
        <v/>
      </c>
      <c r="B88" s="92">
        <f t="shared" ref="B88:B96" si="40">IF($D41=1,IF($E41=B$54,($B41*$C41)*52/12,0),0)</f>
        <v>0</v>
      </c>
      <c r="C88" s="342">
        <f>IF(B88&lt;&gt;0,B88,IF($D41=1,IF($E41=C$54,($B41*$C41)*52/12,0),0))</f>
        <v>0</v>
      </c>
      <c r="D88" s="342">
        <f t="shared" ref="D88:M88" si="41">IF(C88&lt;&gt;0,C88,IF($D41=1,IF($E41=D$54,($B41*$C41)*52/12,0),0))</f>
        <v>0</v>
      </c>
      <c r="E88" s="342">
        <f t="shared" si="41"/>
        <v>0</v>
      </c>
      <c r="F88" s="342">
        <f t="shared" si="41"/>
        <v>0</v>
      </c>
      <c r="G88" s="342">
        <f t="shared" si="41"/>
        <v>0</v>
      </c>
      <c r="H88" s="342">
        <f t="shared" si="41"/>
        <v>0</v>
      </c>
      <c r="I88" s="342">
        <f t="shared" si="41"/>
        <v>0</v>
      </c>
      <c r="J88" s="342">
        <f t="shared" si="41"/>
        <v>0</v>
      </c>
      <c r="K88" s="342">
        <f t="shared" si="41"/>
        <v>0</v>
      </c>
      <c r="L88" s="342">
        <f t="shared" si="41"/>
        <v>0</v>
      </c>
      <c r="M88" s="342">
        <f t="shared" si="41"/>
        <v>0</v>
      </c>
    </row>
    <row r="89" spans="1:13">
      <c r="A89" s="372" t="str">
        <f t="shared" si="39"/>
        <v/>
      </c>
      <c r="B89" s="92">
        <f t="shared" si="40"/>
        <v>0</v>
      </c>
      <c r="C89" s="342">
        <f t="shared" ref="C89:M89" si="42">IF(B89&lt;&gt;0,B89,IF($D42=1,IF($E42=C$54,($B42*$C42)*52/12,0),0))</f>
        <v>0</v>
      </c>
      <c r="D89" s="342">
        <f t="shared" si="42"/>
        <v>0</v>
      </c>
      <c r="E89" s="342">
        <f t="shared" si="42"/>
        <v>0</v>
      </c>
      <c r="F89" s="342">
        <f t="shared" si="42"/>
        <v>0</v>
      </c>
      <c r="G89" s="342">
        <f t="shared" si="42"/>
        <v>0</v>
      </c>
      <c r="H89" s="342">
        <f t="shared" si="42"/>
        <v>0</v>
      </c>
      <c r="I89" s="342">
        <f t="shared" si="42"/>
        <v>0</v>
      </c>
      <c r="J89" s="342">
        <f t="shared" si="42"/>
        <v>0</v>
      </c>
      <c r="K89" s="342">
        <f t="shared" si="42"/>
        <v>0</v>
      </c>
      <c r="L89" s="342">
        <f t="shared" si="42"/>
        <v>0</v>
      </c>
      <c r="M89" s="342">
        <f t="shared" si="42"/>
        <v>0</v>
      </c>
    </row>
    <row r="90" spans="1:13">
      <c r="A90" s="372" t="str">
        <f t="shared" si="39"/>
        <v/>
      </c>
      <c r="B90" s="92">
        <f t="shared" si="40"/>
        <v>0</v>
      </c>
      <c r="C90" s="342">
        <f t="shared" ref="C90:M90" si="43">IF(B90&lt;&gt;0,B90,IF($D43=1,IF($E43=C$54,($B43*$C43)*52/12,0),0))</f>
        <v>0</v>
      </c>
      <c r="D90" s="342">
        <f t="shared" si="43"/>
        <v>0</v>
      </c>
      <c r="E90" s="342">
        <f t="shared" si="43"/>
        <v>0</v>
      </c>
      <c r="F90" s="342">
        <f t="shared" si="43"/>
        <v>0</v>
      </c>
      <c r="G90" s="342">
        <f t="shared" si="43"/>
        <v>0</v>
      </c>
      <c r="H90" s="342">
        <f t="shared" si="43"/>
        <v>0</v>
      </c>
      <c r="I90" s="342">
        <f t="shared" si="43"/>
        <v>0</v>
      </c>
      <c r="J90" s="342">
        <f t="shared" si="43"/>
        <v>0</v>
      </c>
      <c r="K90" s="342">
        <f t="shared" si="43"/>
        <v>0</v>
      </c>
      <c r="L90" s="342">
        <f t="shared" si="43"/>
        <v>0</v>
      </c>
      <c r="M90" s="342">
        <f t="shared" si="43"/>
        <v>0</v>
      </c>
    </row>
    <row r="91" spans="1:13">
      <c r="A91" s="372" t="str">
        <f t="shared" si="39"/>
        <v/>
      </c>
      <c r="B91" s="92">
        <f t="shared" si="40"/>
        <v>0</v>
      </c>
      <c r="C91" s="342">
        <f t="shared" ref="C91:M91" si="44">IF(B91&lt;&gt;0,B91,IF($D44=1,IF($E44=C$54,($B44*$C44)*52/12,0),0))</f>
        <v>0</v>
      </c>
      <c r="D91" s="342">
        <f t="shared" si="44"/>
        <v>0</v>
      </c>
      <c r="E91" s="342">
        <f t="shared" si="44"/>
        <v>0</v>
      </c>
      <c r="F91" s="342">
        <f t="shared" si="44"/>
        <v>0</v>
      </c>
      <c r="G91" s="342">
        <f t="shared" si="44"/>
        <v>0</v>
      </c>
      <c r="H91" s="342">
        <f t="shared" si="44"/>
        <v>0</v>
      </c>
      <c r="I91" s="342">
        <f t="shared" si="44"/>
        <v>0</v>
      </c>
      <c r="J91" s="342">
        <f t="shared" si="44"/>
        <v>0</v>
      </c>
      <c r="K91" s="342">
        <f t="shared" si="44"/>
        <v>0</v>
      </c>
      <c r="L91" s="342">
        <f t="shared" si="44"/>
        <v>0</v>
      </c>
      <c r="M91" s="342">
        <f t="shared" si="44"/>
        <v>0</v>
      </c>
    </row>
    <row r="92" spans="1:13">
      <c r="A92" s="372" t="str">
        <f t="shared" si="39"/>
        <v/>
      </c>
      <c r="B92" s="92">
        <f t="shared" si="40"/>
        <v>0</v>
      </c>
      <c r="C92" s="342">
        <f t="shared" ref="C92:M92" si="45">IF(B92&lt;&gt;0,B92,IF($D45=1,IF($E45=C$54,($B45*$C45)*52/12,0),0))</f>
        <v>0</v>
      </c>
      <c r="D92" s="342">
        <f t="shared" si="45"/>
        <v>0</v>
      </c>
      <c r="E92" s="342">
        <f t="shared" si="45"/>
        <v>0</v>
      </c>
      <c r="F92" s="342">
        <f t="shared" si="45"/>
        <v>0</v>
      </c>
      <c r="G92" s="342">
        <f t="shared" si="45"/>
        <v>0</v>
      </c>
      <c r="H92" s="342">
        <f t="shared" si="45"/>
        <v>0</v>
      </c>
      <c r="I92" s="342">
        <f t="shared" si="45"/>
        <v>0</v>
      </c>
      <c r="J92" s="342">
        <f t="shared" si="45"/>
        <v>0</v>
      </c>
      <c r="K92" s="342">
        <f t="shared" si="45"/>
        <v>0</v>
      </c>
      <c r="L92" s="342">
        <f t="shared" si="45"/>
        <v>0</v>
      </c>
      <c r="M92" s="342">
        <f t="shared" si="45"/>
        <v>0</v>
      </c>
    </row>
    <row r="93" spans="1:13">
      <c r="A93" s="372" t="str">
        <f t="shared" si="39"/>
        <v/>
      </c>
      <c r="B93" s="92">
        <f t="shared" si="40"/>
        <v>0</v>
      </c>
      <c r="C93" s="342">
        <f t="shared" ref="C93:M93" si="46">IF(B93&lt;&gt;0,B93,IF($D46=1,IF($E46=C$54,($B46*$C46)*52/12,0),0))</f>
        <v>0</v>
      </c>
      <c r="D93" s="342">
        <f t="shared" si="46"/>
        <v>0</v>
      </c>
      <c r="E93" s="342">
        <f t="shared" si="46"/>
        <v>0</v>
      </c>
      <c r="F93" s="342">
        <f t="shared" si="46"/>
        <v>0</v>
      </c>
      <c r="G93" s="342">
        <f t="shared" si="46"/>
        <v>0</v>
      </c>
      <c r="H93" s="342">
        <f t="shared" si="46"/>
        <v>0</v>
      </c>
      <c r="I93" s="342">
        <f t="shared" si="46"/>
        <v>0</v>
      </c>
      <c r="J93" s="342">
        <f t="shared" si="46"/>
        <v>0</v>
      </c>
      <c r="K93" s="342">
        <f t="shared" si="46"/>
        <v>0</v>
      </c>
      <c r="L93" s="342">
        <f t="shared" si="46"/>
        <v>0</v>
      </c>
      <c r="M93" s="342">
        <f t="shared" si="46"/>
        <v>0</v>
      </c>
    </row>
    <row r="94" spans="1:13">
      <c r="A94" s="372" t="str">
        <f t="shared" si="39"/>
        <v/>
      </c>
      <c r="B94" s="92">
        <f t="shared" si="40"/>
        <v>0</v>
      </c>
      <c r="C94" s="342">
        <f t="shared" ref="C94:M94" si="47">IF(B94&lt;&gt;0,B94,IF($D47=1,IF($E47=C$54,($B47*$C47)*52/12,0),0))</f>
        <v>0</v>
      </c>
      <c r="D94" s="342">
        <f t="shared" si="47"/>
        <v>0</v>
      </c>
      <c r="E94" s="342">
        <f t="shared" si="47"/>
        <v>0</v>
      </c>
      <c r="F94" s="342">
        <f t="shared" si="47"/>
        <v>0</v>
      </c>
      <c r="G94" s="342">
        <f t="shared" si="47"/>
        <v>0</v>
      </c>
      <c r="H94" s="342">
        <f t="shared" si="47"/>
        <v>0</v>
      </c>
      <c r="I94" s="342">
        <f t="shared" si="47"/>
        <v>0</v>
      </c>
      <c r="J94" s="342">
        <f t="shared" si="47"/>
        <v>0</v>
      </c>
      <c r="K94" s="342">
        <f t="shared" si="47"/>
        <v>0</v>
      </c>
      <c r="L94" s="342">
        <f t="shared" si="47"/>
        <v>0</v>
      </c>
      <c r="M94" s="342">
        <f t="shared" si="47"/>
        <v>0</v>
      </c>
    </row>
    <row r="95" spans="1:13">
      <c r="A95" s="372" t="str">
        <f t="shared" si="39"/>
        <v/>
      </c>
      <c r="B95" s="92">
        <f t="shared" si="40"/>
        <v>0</v>
      </c>
      <c r="C95" s="342">
        <f t="shared" ref="C95:M95" si="48">IF(B95&lt;&gt;0,B95,IF($D48=1,IF($E48=C$54,($B48*$C48)*52/12,0),0))</f>
        <v>0</v>
      </c>
      <c r="D95" s="342">
        <f t="shared" si="48"/>
        <v>0</v>
      </c>
      <c r="E95" s="342">
        <f t="shared" si="48"/>
        <v>0</v>
      </c>
      <c r="F95" s="342">
        <f t="shared" si="48"/>
        <v>0</v>
      </c>
      <c r="G95" s="342">
        <f t="shared" si="48"/>
        <v>0</v>
      </c>
      <c r="H95" s="342">
        <f t="shared" si="48"/>
        <v>0</v>
      </c>
      <c r="I95" s="342">
        <f t="shared" si="48"/>
        <v>0</v>
      </c>
      <c r="J95" s="342">
        <f t="shared" si="48"/>
        <v>0</v>
      </c>
      <c r="K95" s="342">
        <f t="shared" si="48"/>
        <v>0</v>
      </c>
      <c r="L95" s="342">
        <f t="shared" si="48"/>
        <v>0</v>
      </c>
      <c r="M95" s="342">
        <f t="shared" si="48"/>
        <v>0</v>
      </c>
    </row>
    <row r="96" spans="1:13">
      <c r="A96" s="372" t="str">
        <f t="shared" si="39"/>
        <v/>
      </c>
      <c r="B96" s="92">
        <f t="shared" si="40"/>
        <v>0</v>
      </c>
      <c r="C96" s="342">
        <f t="shared" ref="C96:M96" si="49">IF(B96&lt;&gt;0,B96,IF($D49=1,IF($E49=C$54,($B49*$C49)*52/12,0),0))</f>
        <v>0</v>
      </c>
      <c r="D96" s="342">
        <f t="shared" si="49"/>
        <v>0</v>
      </c>
      <c r="E96" s="342">
        <f t="shared" si="49"/>
        <v>0</v>
      </c>
      <c r="F96" s="342">
        <f t="shared" si="49"/>
        <v>0</v>
      </c>
      <c r="G96" s="342">
        <f t="shared" si="49"/>
        <v>0</v>
      </c>
      <c r="H96" s="342">
        <f t="shared" si="49"/>
        <v>0</v>
      </c>
      <c r="I96" s="342">
        <f t="shared" si="49"/>
        <v>0</v>
      </c>
      <c r="J96" s="342">
        <f t="shared" si="49"/>
        <v>0</v>
      </c>
      <c r="K96" s="342">
        <f t="shared" si="49"/>
        <v>0</v>
      </c>
      <c r="L96" s="342">
        <f t="shared" si="49"/>
        <v>0</v>
      </c>
      <c r="M96" s="342">
        <f t="shared" si="49"/>
        <v>0</v>
      </c>
    </row>
    <row r="97" spans="1:13">
      <c r="A97" s="368" t="str">
        <f>+A50</f>
        <v>Total Part time Hourly</v>
      </c>
      <c r="B97" s="378">
        <f>SUM(B88:B96)</f>
        <v>0</v>
      </c>
      <c r="C97" s="378">
        <f t="shared" ref="C97:M97" si="50">SUM(C88:C96)</f>
        <v>0</v>
      </c>
      <c r="D97" s="378">
        <f t="shared" si="50"/>
        <v>0</v>
      </c>
      <c r="E97" s="378">
        <f t="shared" si="50"/>
        <v>0</v>
      </c>
      <c r="F97" s="378">
        <f t="shared" si="50"/>
        <v>0</v>
      </c>
      <c r="G97" s="378">
        <f t="shared" si="50"/>
        <v>0</v>
      </c>
      <c r="H97" s="378">
        <f t="shared" si="50"/>
        <v>0</v>
      </c>
      <c r="I97" s="378">
        <f t="shared" si="50"/>
        <v>0</v>
      </c>
      <c r="J97" s="378">
        <f t="shared" si="50"/>
        <v>0</v>
      </c>
      <c r="K97" s="378">
        <f t="shared" si="50"/>
        <v>0</v>
      </c>
      <c r="L97" s="378">
        <f t="shared" si="50"/>
        <v>0</v>
      </c>
      <c r="M97" s="378">
        <f t="shared" si="50"/>
        <v>0</v>
      </c>
    </row>
    <row r="98" spans="1:13">
      <c r="A98" s="368"/>
    </row>
    <row r="99" spans="1:13" ht="15.75">
      <c r="A99" s="375" t="s">
        <v>377</v>
      </c>
    </row>
    <row r="100" spans="1:13">
      <c r="A100" s="368"/>
      <c r="B100" s="187">
        <v>1</v>
      </c>
      <c r="C100" s="187">
        <v>2</v>
      </c>
      <c r="D100" s="187">
        <v>3</v>
      </c>
      <c r="E100" s="187">
        <v>4</v>
      </c>
      <c r="F100" s="187">
        <v>5</v>
      </c>
      <c r="G100" s="187">
        <v>6</v>
      </c>
      <c r="H100" s="187">
        <v>7</v>
      </c>
      <c r="I100" s="187">
        <v>8</v>
      </c>
      <c r="J100" s="187">
        <v>9</v>
      </c>
      <c r="K100" s="187">
        <v>10</v>
      </c>
      <c r="L100" s="187">
        <v>11</v>
      </c>
      <c r="M100" s="187">
        <v>12</v>
      </c>
    </row>
    <row r="101" spans="1:13">
      <c r="A101" s="1" t="s">
        <v>413</v>
      </c>
      <c r="B101" s="343">
        <f>+G6</f>
        <v>0</v>
      </c>
      <c r="C101" s="343">
        <f>+B101</f>
        <v>0</v>
      </c>
      <c r="D101" s="343">
        <f t="shared" ref="D101:M101" si="51">+C101</f>
        <v>0</v>
      </c>
      <c r="E101" s="343">
        <f t="shared" si="51"/>
        <v>0</v>
      </c>
      <c r="F101" s="343">
        <f t="shared" si="51"/>
        <v>0</v>
      </c>
      <c r="G101" s="343">
        <f t="shared" si="51"/>
        <v>0</v>
      </c>
      <c r="H101" s="343">
        <f t="shared" si="51"/>
        <v>0</v>
      </c>
      <c r="I101" s="343">
        <f t="shared" si="51"/>
        <v>0</v>
      </c>
      <c r="J101" s="343">
        <f t="shared" si="51"/>
        <v>0</v>
      </c>
      <c r="K101" s="343">
        <f t="shared" si="51"/>
        <v>0</v>
      </c>
      <c r="L101" s="343">
        <f t="shared" si="51"/>
        <v>0</v>
      </c>
      <c r="M101" s="343">
        <f t="shared" si="51"/>
        <v>0</v>
      </c>
    </row>
    <row r="102" spans="1:13">
      <c r="A102" s="372" t="str">
        <f t="shared" ref="A102" si="52">IF(A56="","",A56)</f>
        <v/>
      </c>
    </row>
    <row r="103" spans="1:13">
      <c r="A103" s="372" t="str">
        <f>IF(A57="","",A57)</f>
        <v/>
      </c>
      <c r="B103" s="342">
        <f>IF(M57&lt;&gt;0,M57*(1+G$3),IF($D10=2,IF($D10=B$54,C$10,0),0))</f>
        <v>0</v>
      </c>
      <c r="C103" s="342">
        <f>IF(B103&lt;&gt;0,B103,IF($D10=2,IF($E10=C$54,$C10,0),0))</f>
        <v>0</v>
      </c>
      <c r="D103" s="342">
        <f t="shared" ref="D103:M103" si="53">IF(C103&lt;&gt;0,C103,IF($D10=2,IF($E10=D$54,$C10,0),0))</f>
        <v>0</v>
      </c>
      <c r="E103" s="342">
        <f t="shared" si="53"/>
        <v>0</v>
      </c>
      <c r="F103" s="342">
        <f t="shared" si="53"/>
        <v>0</v>
      </c>
      <c r="G103" s="342">
        <f t="shared" si="53"/>
        <v>0</v>
      </c>
      <c r="H103" s="342">
        <f t="shared" si="53"/>
        <v>0</v>
      </c>
      <c r="I103" s="342">
        <f t="shared" si="53"/>
        <v>0</v>
      </c>
      <c r="J103" s="342">
        <f t="shared" si="53"/>
        <v>0</v>
      </c>
      <c r="K103" s="342">
        <f t="shared" si="53"/>
        <v>0</v>
      </c>
      <c r="L103" s="342">
        <f t="shared" si="53"/>
        <v>0</v>
      </c>
      <c r="M103" s="342">
        <f t="shared" si="53"/>
        <v>0</v>
      </c>
    </row>
    <row r="104" spans="1:13">
      <c r="A104" s="372" t="str">
        <f t="shared" ref="A104:A112" si="54">IF(A58="","",A58)</f>
        <v/>
      </c>
      <c r="B104" s="342">
        <f t="shared" ref="B104:B111" si="55">IF(M58&lt;&gt;0,M58*(1+G$3),IF($D11=2,IF($D11=B$54,C$10,0),0))</f>
        <v>0</v>
      </c>
      <c r="C104" s="342">
        <f t="shared" ref="C104:M104" si="56">IF(B104&lt;&gt;0,B104,IF($D11=2,IF($E11=C$54,$C11,0),0))</f>
        <v>0</v>
      </c>
      <c r="D104" s="342">
        <f t="shared" si="56"/>
        <v>0</v>
      </c>
      <c r="E104" s="342">
        <f t="shared" si="56"/>
        <v>0</v>
      </c>
      <c r="F104" s="342">
        <f t="shared" si="56"/>
        <v>0</v>
      </c>
      <c r="G104" s="342">
        <f t="shared" si="56"/>
        <v>0</v>
      </c>
      <c r="H104" s="342">
        <f t="shared" si="56"/>
        <v>0</v>
      </c>
      <c r="I104" s="342">
        <f t="shared" si="56"/>
        <v>0</v>
      </c>
      <c r="J104" s="342">
        <f t="shared" si="56"/>
        <v>0</v>
      </c>
      <c r="K104" s="342">
        <f t="shared" si="56"/>
        <v>0</v>
      </c>
      <c r="L104" s="342">
        <f t="shared" si="56"/>
        <v>0</v>
      </c>
      <c r="M104" s="342">
        <f t="shared" si="56"/>
        <v>0</v>
      </c>
    </row>
    <row r="105" spans="1:13">
      <c r="A105" s="372" t="str">
        <f t="shared" si="54"/>
        <v/>
      </c>
      <c r="B105" s="342">
        <f t="shared" si="55"/>
        <v>0</v>
      </c>
      <c r="C105" s="342">
        <f t="shared" ref="C105:M105" si="57">IF(B105&lt;&gt;0,B105,IF($D12=2,IF($E12=C$54,$C12,0),0))</f>
        <v>0</v>
      </c>
      <c r="D105" s="342">
        <f t="shared" si="57"/>
        <v>0</v>
      </c>
      <c r="E105" s="342">
        <f t="shared" si="57"/>
        <v>0</v>
      </c>
      <c r="F105" s="342">
        <f t="shared" si="57"/>
        <v>0</v>
      </c>
      <c r="G105" s="342">
        <f t="shared" si="57"/>
        <v>0</v>
      </c>
      <c r="H105" s="342">
        <f t="shared" si="57"/>
        <v>0</v>
      </c>
      <c r="I105" s="342">
        <f t="shared" si="57"/>
        <v>0</v>
      </c>
      <c r="J105" s="342">
        <f t="shared" si="57"/>
        <v>0</v>
      </c>
      <c r="K105" s="342">
        <f t="shared" si="57"/>
        <v>0</v>
      </c>
      <c r="L105" s="342">
        <f t="shared" si="57"/>
        <v>0</v>
      </c>
      <c r="M105" s="342">
        <f t="shared" si="57"/>
        <v>0</v>
      </c>
    </row>
    <row r="106" spans="1:13">
      <c r="A106" s="372" t="str">
        <f t="shared" si="54"/>
        <v/>
      </c>
      <c r="B106" s="342">
        <f t="shared" si="55"/>
        <v>0</v>
      </c>
      <c r="C106" s="342">
        <f t="shared" ref="C106:M106" si="58">IF(B106&lt;&gt;0,B106,IF($D13=2,IF($E13=C$54,$C13,0),0))</f>
        <v>0</v>
      </c>
      <c r="D106" s="342">
        <f t="shared" si="58"/>
        <v>0</v>
      </c>
      <c r="E106" s="342">
        <f t="shared" si="58"/>
        <v>0</v>
      </c>
      <c r="F106" s="342">
        <f t="shared" si="58"/>
        <v>0</v>
      </c>
      <c r="G106" s="342">
        <f t="shared" si="58"/>
        <v>0</v>
      </c>
      <c r="H106" s="342">
        <f t="shared" si="58"/>
        <v>0</v>
      </c>
      <c r="I106" s="342">
        <f t="shared" si="58"/>
        <v>0</v>
      </c>
      <c r="J106" s="342">
        <f t="shared" si="58"/>
        <v>0</v>
      </c>
      <c r="K106" s="342">
        <f t="shared" si="58"/>
        <v>0</v>
      </c>
      <c r="L106" s="342">
        <f t="shared" si="58"/>
        <v>0</v>
      </c>
      <c r="M106" s="342">
        <f t="shared" si="58"/>
        <v>0</v>
      </c>
    </row>
    <row r="107" spans="1:13">
      <c r="A107" s="372" t="str">
        <f t="shared" si="54"/>
        <v/>
      </c>
      <c r="B107" s="342">
        <f t="shared" si="55"/>
        <v>0</v>
      </c>
      <c r="C107" s="342">
        <f t="shared" ref="C107:M107" si="59">IF(B107&lt;&gt;0,B107,IF($D14=2,IF($E14=C$54,$C14,0),0))</f>
        <v>0</v>
      </c>
      <c r="D107" s="342">
        <f t="shared" si="59"/>
        <v>0</v>
      </c>
      <c r="E107" s="342">
        <f t="shared" si="59"/>
        <v>0</v>
      </c>
      <c r="F107" s="342">
        <f t="shared" si="59"/>
        <v>0</v>
      </c>
      <c r="G107" s="342">
        <f t="shared" si="59"/>
        <v>0</v>
      </c>
      <c r="H107" s="342">
        <f t="shared" si="59"/>
        <v>0</v>
      </c>
      <c r="I107" s="342">
        <f t="shared" si="59"/>
        <v>0</v>
      </c>
      <c r="J107" s="342">
        <f t="shared" si="59"/>
        <v>0</v>
      </c>
      <c r="K107" s="342">
        <f t="shared" si="59"/>
        <v>0</v>
      </c>
      <c r="L107" s="342">
        <f t="shared" si="59"/>
        <v>0</v>
      </c>
      <c r="M107" s="342">
        <f t="shared" si="59"/>
        <v>0</v>
      </c>
    </row>
    <row r="108" spans="1:13">
      <c r="A108" s="372" t="str">
        <f t="shared" si="54"/>
        <v/>
      </c>
      <c r="B108" s="342">
        <f t="shared" si="55"/>
        <v>0</v>
      </c>
      <c r="C108" s="342">
        <f t="shared" ref="C108:M108" si="60">IF(B108&lt;&gt;0,B108,IF($D15=2,IF($E15=C$54,$C15,0),0))</f>
        <v>0</v>
      </c>
      <c r="D108" s="342">
        <f t="shared" si="60"/>
        <v>0</v>
      </c>
      <c r="E108" s="342">
        <f t="shared" si="60"/>
        <v>0</v>
      </c>
      <c r="F108" s="342">
        <f t="shared" si="60"/>
        <v>0</v>
      </c>
      <c r="G108" s="342">
        <f t="shared" si="60"/>
        <v>0</v>
      </c>
      <c r="H108" s="342">
        <f t="shared" si="60"/>
        <v>0</v>
      </c>
      <c r="I108" s="342">
        <f t="shared" si="60"/>
        <v>0</v>
      </c>
      <c r="J108" s="342">
        <f t="shared" si="60"/>
        <v>0</v>
      </c>
      <c r="K108" s="342">
        <f t="shared" si="60"/>
        <v>0</v>
      </c>
      <c r="L108" s="342">
        <f t="shared" si="60"/>
        <v>0</v>
      </c>
      <c r="M108" s="342">
        <f t="shared" si="60"/>
        <v>0</v>
      </c>
    </row>
    <row r="109" spans="1:13">
      <c r="A109" s="372" t="str">
        <f t="shared" si="54"/>
        <v/>
      </c>
      <c r="B109" s="342">
        <f t="shared" si="55"/>
        <v>0</v>
      </c>
      <c r="C109" s="342">
        <f t="shared" ref="C109:M109" si="61">IF(B109&lt;&gt;0,B109,IF($D16=2,IF($E16=C$54,$C16,0),0))</f>
        <v>0</v>
      </c>
      <c r="D109" s="342">
        <f t="shared" si="61"/>
        <v>0</v>
      </c>
      <c r="E109" s="342">
        <f t="shared" si="61"/>
        <v>0</v>
      </c>
      <c r="F109" s="342">
        <f t="shared" si="61"/>
        <v>0</v>
      </c>
      <c r="G109" s="342">
        <f t="shared" si="61"/>
        <v>0</v>
      </c>
      <c r="H109" s="342">
        <f t="shared" si="61"/>
        <v>0</v>
      </c>
      <c r="I109" s="342">
        <f t="shared" si="61"/>
        <v>0</v>
      </c>
      <c r="J109" s="342">
        <f t="shared" si="61"/>
        <v>0</v>
      </c>
      <c r="K109" s="342">
        <f t="shared" si="61"/>
        <v>0</v>
      </c>
      <c r="L109" s="342">
        <f t="shared" si="61"/>
        <v>0</v>
      </c>
      <c r="M109" s="342">
        <f t="shared" si="61"/>
        <v>0</v>
      </c>
    </row>
    <row r="110" spans="1:13">
      <c r="A110" s="372" t="str">
        <f t="shared" si="54"/>
        <v/>
      </c>
      <c r="B110" s="342">
        <f t="shared" si="55"/>
        <v>0</v>
      </c>
      <c r="C110" s="342">
        <f t="shared" ref="C110:M110" si="62">IF(B110&lt;&gt;0,B110,IF($D17=2,IF($E17=C$54,$C17,0),0))</f>
        <v>0</v>
      </c>
      <c r="D110" s="342">
        <f t="shared" si="62"/>
        <v>0</v>
      </c>
      <c r="E110" s="342">
        <f t="shared" si="62"/>
        <v>0</v>
      </c>
      <c r="F110" s="342">
        <f t="shared" si="62"/>
        <v>0</v>
      </c>
      <c r="G110" s="342">
        <f t="shared" si="62"/>
        <v>0</v>
      </c>
      <c r="H110" s="342">
        <f t="shared" si="62"/>
        <v>0</v>
      </c>
      <c r="I110" s="342">
        <f t="shared" si="62"/>
        <v>0</v>
      </c>
      <c r="J110" s="342">
        <f t="shared" si="62"/>
        <v>0</v>
      </c>
      <c r="K110" s="342">
        <f t="shared" si="62"/>
        <v>0</v>
      </c>
      <c r="L110" s="342">
        <f t="shared" si="62"/>
        <v>0</v>
      </c>
      <c r="M110" s="342">
        <f t="shared" si="62"/>
        <v>0</v>
      </c>
    </row>
    <row r="111" spans="1:13">
      <c r="A111" s="372" t="str">
        <f t="shared" si="54"/>
        <v/>
      </c>
      <c r="B111" s="374">
        <f t="shared" si="55"/>
        <v>0</v>
      </c>
      <c r="C111" s="374">
        <f t="shared" ref="C111:M111" si="63">IF(B111&lt;&gt;0,B111,IF($D18=2,IF($E18=C$54,$C18,0),0))</f>
        <v>0</v>
      </c>
      <c r="D111" s="374">
        <f t="shared" si="63"/>
        <v>0</v>
      </c>
      <c r="E111" s="374">
        <f t="shared" si="63"/>
        <v>0</v>
      </c>
      <c r="F111" s="374">
        <f t="shared" si="63"/>
        <v>0</v>
      </c>
      <c r="G111" s="374">
        <f t="shared" si="63"/>
        <v>0</v>
      </c>
      <c r="H111" s="374">
        <f t="shared" si="63"/>
        <v>0</v>
      </c>
      <c r="I111" s="374">
        <f t="shared" si="63"/>
        <v>0</v>
      </c>
      <c r="J111" s="374">
        <f t="shared" si="63"/>
        <v>0</v>
      </c>
      <c r="K111" s="374">
        <f t="shared" si="63"/>
        <v>0</v>
      </c>
      <c r="L111" s="374">
        <f t="shared" si="63"/>
        <v>0</v>
      </c>
      <c r="M111" s="374">
        <f t="shared" si="63"/>
        <v>0</v>
      </c>
    </row>
    <row r="112" spans="1:13">
      <c r="A112" s="372" t="str">
        <f t="shared" si="54"/>
        <v>Total Salaried</v>
      </c>
      <c r="B112" s="342">
        <f>SUM(B103:B111)</f>
        <v>0</v>
      </c>
      <c r="C112" s="342">
        <f t="shared" ref="C112:M112" si="64">SUM(C103:C111)</f>
        <v>0</v>
      </c>
      <c r="D112" s="342">
        <f t="shared" si="64"/>
        <v>0</v>
      </c>
      <c r="E112" s="342">
        <f t="shared" si="64"/>
        <v>0</v>
      </c>
      <c r="F112" s="342">
        <f t="shared" si="64"/>
        <v>0</v>
      </c>
      <c r="G112" s="342">
        <f t="shared" si="64"/>
        <v>0</v>
      </c>
      <c r="H112" s="342">
        <f t="shared" si="64"/>
        <v>0</v>
      </c>
      <c r="I112" s="342">
        <f t="shared" si="64"/>
        <v>0</v>
      </c>
      <c r="J112" s="342">
        <f t="shared" si="64"/>
        <v>0</v>
      </c>
      <c r="K112" s="342">
        <f t="shared" si="64"/>
        <v>0</v>
      </c>
      <c r="L112" s="342">
        <f t="shared" si="64"/>
        <v>0</v>
      </c>
      <c r="M112" s="342">
        <f t="shared" si="64"/>
        <v>0</v>
      </c>
    </row>
    <row r="113" spans="1:14">
      <c r="A113" s="372"/>
    </row>
    <row r="114" spans="1:14">
      <c r="A114" s="372" t="str">
        <f>IF(A67="","",A67)</f>
        <v/>
      </c>
    </row>
    <row r="115" spans="1:14" ht="15">
      <c r="A115" s="379" t="str">
        <f t="shared" ref="A115:A141" si="65">IF(A69="","",A69)</f>
        <v>Full Time Hourly Job Title</v>
      </c>
    </row>
    <row r="116" spans="1:14">
      <c r="A116" s="372" t="str">
        <f t="shared" si="65"/>
        <v/>
      </c>
      <c r="B116" s="342">
        <f>IF(M70&lt;&gt;0,M70*(1+G$3),IF($D23=2,IF($E23=B$54,($C23*$B23)*52/12,0),0))</f>
        <v>0</v>
      </c>
      <c r="C116" s="342">
        <f>IF(B116&lt;&gt;0,B116,IF($D23=2,IF($E23=C$54,($C23*$B23)*52/12,0),0))</f>
        <v>0</v>
      </c>
      <c r="D116" s="342">
        <f t="shared" ref="D116:M116" si="66">IF(C116&lt;&gt;0,C116,IF($D23=2,IF($E23=D$54,($C23*$B23)*52/12,0),0))</f>
        <v>0</v>
      </c>
      <c r="E116" s="342">
        <f t="shared" si="66"/>
        <v>0</v>
      </c>
      <c r="F116" s="342">
        <f t="shared" si="66"/>
        <v>0</v>
      </c>
      <c r="G116" s="342">
        <f t="shared" si="66"/>
        <v>0</v>
      </c>
      <c r="H116" s="342">
        <f t="shared" si="66"/>
        <v>0</v>
      </c>
      <c r="I116" s="342">
        <f t="shared" si="66"/>
        <v>0</v>
      </c>
      <c r="J116" s="342">
        <f t="shared" si="66"/>
        <v>0</v>
      </c>
      <c r="K116" s="342">
        <f t="shared" si="66"/>
        <v>0</v>
      </c>
      <c r="L116" s="342">
        <f t="shared" si="66"/>
        <v>0</v>
      </c>
      <c r="M116" s="342">
        <f t="shared" si="66"/>
        <v>0</v>
      </c>
      <c r="N116" s="370">
        <f>SUM(B116:M116)</f>
        <v>0</v>
      </c>
    </row>
    <row r="117" spans="1:14">
      <c r="A117" s="372" t="str">
        <f t="shared" si="65"/>
        <v/>
      </c>
      <c r="B117" s="342">
        <f>IF(M71&lt;&gt;0,M71*(1+G$3),IF($D24=2,IF($E24=B$54,($C24*$B24)*52/12,0),0))</f>
        <v>0</v>
      </c>
      <c r="C117" s="342">
        <f t="shared" ref="C117:M117" si="67">IF(B117&lt;&gt;0,B117,IF($D24=2,IF($E24=C$54,($C24*$B24)*52/12,0),0))</f>
        <v>0</v>
      </c>
      <c r="D117" s="342">
        <f t="shared" si="67"/>
        <v>0</v>
      </c>
      <c r="E117" s="342">
        <f t="shared" si="67"/>
        <v>0</v>
      </c>
      <c r="F117" s="342">
        <f t="shared" si="67"/>
        <v>0</v>
      </c>
      <c r="G117" s="342">
        <f t="shared" si="67"/>
        <v>0</v>
      </c>
      <c r="H117" s="342">
        <f t="shared" si="67"/>
        <v>0</v>
      </c>
      <c r="I117" s="342">
        <f t="shared" si="67"/>
        <v>0</v>
      </c>
      <c r="J117" s="342">
        <f t="shared" si="67"/>
        <v>0</v>
      </c>
      <c r="K117" s="342">
        <f t="shared" si="67"/>
        <v>0</v>
      </c>
      <c r="L117" s="342">
        <f t="shared" si="67"/>
        <v>0</v>
      </c>
      <c r="M117" s="342">
        <f t="shared" si="67"/>
        <v>0</v>
      </c>
    </row>
    <row r="118" spans="1:14">
      <c r="A118" s="372" t="str">
        <f t="shared" si="65"/>
        <v/>
      </c>
      <c r="B118" s="342">
        <f t="shared" ref="B118:B130" si="68">IF(M72&lt;&gt;0,M72*(1+G$3),IF($D25=2,IF($E25=B$54,($C25*$B25)*52/12,0),0))</f>
        <v>0</v>
      </c>
      <c r="C118" s="342">
        <f t="shared" ref="C118:M118" si="69">IF(B118&lt;&gt;0,B118,IF($D25=2,IF($E25=C$54,($C25*$B25)*52/12,0),0))</f>
        <v>0</v>
      </c>
      <c r="D118" s="342">
        <f t="shared" si="69"/>
        <v>0</v>
      </c>
      <c r="E118" s="342">
        <f t="shared" si="69"/>
        <v>0</v>
      </c>
      <c r="F118" s="342">
        <f t="shared" si="69"/>
        <v>0</v>
      </c>
      <c r="G118" s="342">
        <f t="shared" si="69"/>
        <v>0</v>
      </c>
      <c r="H118" s="342">
        <f t="shared" si="69"/>
        <v>0</v>
      </c>
      <c r="I118" s="342">
        <f t="shared" si="69"/>
        <v>0</v>
      </c>
      <c r="J118" s="342">
        <f t="shared" si="69"/>
        <v>0</v>
      </c>
      <c r="K118" s="342">
        <f t="shared" si="69"/>
        <v>0</v>
      </c>
      <c r="L118" s="342">
        <f t="shared" si="69"/>
        <v>0</v>
      </c>
      <c r="M118" s="342">
        <f t="shared" si="69"/>
        <v>0</v>
      </c>
    </row>
    <row r="119" spans="1:14">
      <c r="A119" s="372" t="str">
        <f t="shared" si="65"/>
        <v/>
      </c>
      <c r="B119" s="342">
        <f t="shared" si="68"/>
        <v>0</v>
      </c>
      <c r="C119" s="342">
        <f t="shared" ref="C119:M119" si="70">IF(B119&lt;&gt;0,B119,IF($D26=2,IF($E26=C$54,($C26*$B26)*52/12,0),0))</f>
        <v>0</v>
      </c>
      <c r="D119" s="342">
        <f t="shared" si="70"/>
        <v>0</v>
      </c>
      <c r="E119" s="342">
        <f t="shared" si="70"/>
        <v>0</v>
      </c>
      <c r="F119" s="342">
        <f t="shared" si="70"/>
        <v>0</v>
      </c>
      <c r="G119" s="342">
        <f t="shared" si="70"/>
        <v>0</v>
      </c>
      <c r="H119" s="342">
        <f t="shared" si="70"/>
        <v>0</v>
      </c>
      <c r="I119" s="342">
        <f t="shared" si="70"/>
        <v>0</v>
      </c>
      <c r="J119" s="342">
        <f t="shared" si="70"/>
        <v>0</v>
      </c>
      <c r="K119" s="342">
        <f t="shared" si="70"/>
        <v>0</v>
      </c>
      <c r="L119" s="342">
        <f t="shared" si="70"/>
        <v>0</v>
      </c>
      <c r="M119" s="342">
        <f t="shared" si="70"/>
        <v>0</v>
      </c>
    </row>
    <row r="120" spans="1:14">
      <c r="A120" s="372" t="str">
        <f t="shared" si="65"/>
        <v/>
      </c>
      <c r="B120" s="342">
        <f t="shared" si="68"/>
        <v>0</v>
      </c>
      <c r="C120" s="342">
        <f t="shared" ref="C120:M120" si="71">IF(B120&lt;&gt;0,B120,IF($D27=2,IF($E27=C$54,($C27*$B27)*52/12,0),0))</f>
        <v>0</v>
      </c>
      <c r="D120" s="342">
        <f t="shared" si="71"/>
        <v>0</v>
      </c>
      <c r="E120" s="342">
        <f t="shared" si="71"/>
        <v>0</v>
      </c>
      <c r="F120" s="342">
        <f t="shared" si="71"/>
        <v>0</v>
      </c>
      <c r="G120" s="342">
        <f t="shared" si="71"/>
        <v>0</v>
      </c>
      <c r="H120" s="342">
        <f t="shared" si="71"/>
        <v>0</v>
      </c>
      <c r="I120" s="342">
        <f t="shared" si="71"/>
        <v>0</v>
      </c>
      <c r="J120" s="342">
        <f t="shared" si="71"/>
        <v>0</v>
      </c>
      <c r="K120" s="342">
        <f t="shared" si="71"/>
        <v>0</v>
      </c>
      <c r="L120" s="342">
        <f t="shared" si="71"/>
        <v>0</v>
      </c>
      <c r="M120" s="342">
        <f t="shared" si="71"/>
        <v>0</v>
      </c>
    </row>
    <row r="121" spans="1:14">
      <c r="A121" s="372" t="str">
        <f t="shared" si="65"/>
        <v/>
      </c>
      <c r="B121" s="342">
        <f t="shared" si="68"/>
        <v>0</v>
      </c>
      <c r="C121" s="342">
        <f t="shared" ref="C121:M121" si="72">IF(B121&lt;&gt;0,B121,IF($D28=2,IF($E28=C$54,($C28*$B28)*52/12,0),0))</f>
        <v>0</v>
      </c>
      <c r="D121" s="342">
        <f t="shared" si="72"/>
        <v>0</v>
      </c>
      <c r="E121" s="342">
        <f t="shared" si="72"/>
        <v>0</v>
      </c>
      <c r="F121" s="342">
        <f t="shared" si="72"/>
        <v>0</v>
      </c>
      <c r="G121" s="342">
        <f t="shared" si="72"/>
        <v>0</v>
      </c>
      <c r="H121" s="342">
        <f t="shared" si="72"/>
        <v>0</v>
      </c>
      <c r="I121" s="342">
        <f t="shared" si="72"/>
        <v>0</v>
      </c>
      <c r="J121" s="342">
        <f t="shared" si="72"/>
        <v>0</v>
      </c>
      <c r="K121" s="342">
        <f t="shared" si="72"/>
        <v>0</v>
      </c>
      <c r="L121" s="342">
        <f t="shared" si="72"/>
        <v>0</v>
      </c>
      <c r="M121" s="342">
        <f t="shared" si="72"/>
        <v>0</v>
      </c>
    </row>
    <row r="122" spans="1:14">
      <c r="A122" s="372" t="str">
        <f t="shared" si="65"/>
        <v/>
      </c>
      <c r="B122" s="342">
        <f t="shared" si="68"/>
        <v>0</v>
      </c>
      <c r="C122" s="342">
        <f t="shared" ref="C122:M122" si="73">IF(B122&lt;&gt;0,B122,IF($D29=2,IF($E29=C$54,($C29*$B29)*52/12,0),0))</f>
        <v>0</v>
      </c>
      <c r="D122" s="342">
        <f t="shared" si="73"/>
        <v>0</v>
      </c>
      <c r="E122" s="342">
        <f t="shared" si="73"/>
        <v>0</v>
      </c>
      <c r="F122" s="342">
        <f t="shared" si="73"/>
        <v>0</v>
      </c>
      <c r="G122" s="342">
        <f t="shared" si="73"/>
        <v>0</v>
      </c>
      <c r="H122" s="342">
        <f t="shared" si="73"/>
        <v>0</v>
      </c>
      <c r="I122" s="342">
        <f t="shared" si="73"/>
        <v>0</v>
      </c>
      <c r="J122" s="342">
        <f t="shared" si="73"/>
        <v>0</v>
      </c>
      <c r="K122" s="342">
        <f t="shared" si="73"/>
        <v>0</v>
      </c>
      <c r="L122" s="342">
        <f t="shared" si="73"/>
        <v>0</v>
      </c>
      <c r="M122" s="342">
        <f t="shared" si="73"/>
        <v>0</v>
      </c>
    </row>
    <row r="123" spans="1:14">
      <c r="A123" s="372" t="str">
        <f t="shared" si="65"/>
        <v/>
      </c>
      <c r="B123" s="342">
        <f t="shared" si="68"/>
        <v>0</v>
      </c>
      <c r="C123" s="342">
        <f t="shared" ref="C123:M123" si="74">IF(B123&lt;&gt;0,B123,IF($D30=2,IF($E30=C$54,($C30*$B30)*52/12,0),0))</f>
        <v>0</v>
      </c>
      <c r="D123" s="342">
        <f t="shared" si="74"/>
        <v>0</v>
      </c>
      <c r="E123" s="342">
        <f t="shared" si="74"/>
        <v>0</v>
      </c>
      <c r="F123" s="342">
        <f t="shared" si="74"/>
        <v>0</v>
      </c>
      <c r="G123" s="342">
        <f t="shared" si="74"/>
        <v>0</v>
      </c>
      <c r="H123" s="342">
        <f t="shared" si="74"/>
        <v>0</v>
      </c>
      <c r="I123" s="342">
        <f t="shared" si="74"/>
        <v>0</v>
      </c>
      <c r="J123" s="342">
        <f t="shared" si="74"/>
        <v>0</v>
      </c>
      <c r="K123" s="342">
        <f t="shared" si="74"/>
        <v>0</v>
      </c>
      <c r="L123" s="342">
        <f t="shared" si="74"/>
        <v>0</v>
      </c>
      <c r="M123" s="342">
        <f t="shared" si="74"/>
        <v>0</v>
      </c>
    </row>
    <row r="124" spans="1:14">
      <c r="A124" s="372" t="str">
        <f t="shared" si="65"/>
        <v/>
      </c>
      <c r="B124" s="342">
        <f t="shared" si="68"/>
        <v>0</v>
      </c>
      <c r="C124" s="342">
        <f t="shared" ref="C124:M124" si="75">IF(B124&lt;&gt;0,B124,IF($D31=2,IF($E31=C$54,($C31*$B31)*52/12,0),0))</f>
        <v>0</v>
      </c>
      <c r="D124" s="342">
        <f t="shared" si="75"/>
        <v>0</v>
      </c>
      <c r="E124" s="342">
        <f t="shared" si="75"/>
        <v>0</v>
      </c>
      <c r="F124" s="342">
        <f t="shared" si="75"/>
        <v>0</v>
      </c>
      <c r="G124" s="342">
        <f t="shared" si="75"/>
        <v>0</v>
      </c>
      <c r="H124" s="342">
        <f t="shared" si="75"/>
        <v>0</v>
      </c>
      <c r="I124" s="342">
        <f t="shared" si="75"/>
        <v>0</v>
      </c>
      <c r="J124" s="342">
        <f t="shared" si="75"/>
        <v>0</v>
      </c>
      <c r="K124" s="342">
        <f t="shared" si="75"/>
        <v>0</v>
      </c>
      <c r="L124" s="342">
        <f t="shared" si="75"/>
        <v>0</v>
      </c>
      <c r="M124" s="342">
        <f t="shared" si="75"/>
        <v>0</v>
      </c>
    </row>
    <row r="125" spans="1:14">
      <c r="A125" s="372" t="str">
        <f t="shared" si="65"/>
        <v/>
      </c>
      <c r="B125" s="342">
        <f t="shared" si="68"/>
        <v>0</v>
      </c>
      <c r="C125" s="342">
        <f t="shared" ref="C125:M125" si="76">IF(B125&lt;&gt;0,B125,IF($D32=2,IF($E32=C$54,($C32*$B32)*52/12,0),0))</f>
        <v>0</v>
      </c>
      <c r="D125" s="342">
        <f t="shared" si="76"/>
        <v>0</v>
      </c>
      <c r="E125" s="342">
        <f t="shared" si="76"/>
        <v>0</v>
      </c>
      <c r="F125" s="342">
        <f t="shared" si="76"/>
        <v>0</v>
      </c>
      <c r="G125" s="342">
        <f t="shared" si="76"/>
        <v>0</v>
      </c>
      <c r="H125" s="342">
        <f t="shared" si="76"/>
        <v>0</v>
      </c>
      <c r="I125" s="342">
        <f t="shared" si="76"/>
        <v>0</v>
      </c>
      <c r="J125" s="342">
        <f t="shared" si="76"/>
        <v>0</v>
      </c>
      <c r="K125" s="342">
        <f t="shared" si="76"/>
        <v>0</v>
      </c>
      <c r="L125" s="342">
        <f t="shared" si="76"/>
        <v>0</v>
      </c>
      <c r="M125" s="342">
        <f t="shared" si="76"/>
        <v>0</v>
      </c>
    </row>
    <row r="126" spans="1:14">
      <c r="A126" s="372" t="str">
        <f t="shared" si="65"/>
        <v/>
      </c>
      <c r="B126" s="342">
        <f t="shared" si="68"/>
        <v>0</v>
      </c>
      <c r="C126" s="342">
        <f t="shared" ref="C126:M126" si="77">IF(B126&lt;&gt;0,B126,IF($D33=2,IF($E33=C$54,($C33*$B33)*52/12,0),0))</f>
        <v>0</v>
      </c>
      <c r="D126" s="342">
        <f t="shared" si="77"/>
        <v>0</v>
      </c>
      <c r="E126" s="342">
        <f t="shared" si="77"/>
        <v>0</v>
      </c>
      <c r="F126" s="342">
        <f t="shared" si="77"/>
        <v>0</v>
      </c>
      <c r="G126" s="342">
        <f t="shared" si="77"/>
        <v>0</v>
      </c>
      <c r="H126" s="342">
        <f t="shared" si="77"/>
        <v>0</v>
      </c>
      <c r="I126" s="342">
        <f t="shared" si="77"/>
        <v>0</v>
      </c>
      <c r="J126" s="342">
        <f t="shared" si="77"/>
        <v>0</v>
      </c>
      <c r="K126" s="342">
        <f t="shared" si="77"/>
        <v>0</v>
      </c>
      <c r="L126" s="342">
        <f t="shared" si="77"/>
        <v>0</v>
      </c>
      <c r="M126" s="342">
        <f t="shared" si="77"/>
        <v>0</v>
      </c>
    </row>
    <row r="127" spans="1:14">
      <c r="A127" s="372" t="str">
        <f t="shared" si="65"/>
        <v/>
      </c>
      <c r="B127" s="342">
        <f t="shared" si="68"/>
        <v>0</v>
      </c>
      <c r="C127" s="342">
        <f t="shared" ref="C127:M127" si="78">IF(B127&lt;&gt;0,B127,IF($D34=2,IF($E34=C$54,($C34*$B34)*52/12,0),0))</f>
        <v>0</v>
      </c>
      <c r="D127" s="342">
        <f t="shared" si="78"/>
        <v>0</v>
      </c>
      <c r="E127" s="342">
        <f t="shared" si="78"/>
        <v>0</v>
      </c>
      <c r="F127" s="342">
        <f t="shared" si="78"/>
        <v>0</v>
      </c>
      <c r="G127" s="342">
        <f t="shared" si="78"/>
        <v>0</v>
      </c>
      <c r="H127" s="342">
        <f t="shared" si="78"/>
        <v>0</v>
      </c>
      <c r="I127" s="342">
        <f t="shared" si="78"/>
        <v>0</v>
      </c>
      <c r="J127" s="342">
        <f t="shared" si="78"/>
        <v>0</v>
      </c>
      <c r="K127" s="342">
        <f t="shared" si="78"/>
        <v>0</v>
      </c>
      <c r="L127" s="342">
        <f t="shared" si="78"/>
        <v>0</v>
      </c>
      <c r="M127" s="342">
        <f t="shared" si="78"/>
        <v>0</v>
      </c>
    </row>
    <row r="128" spans="1:14">
      <c r="A128" s="372" t="str">
        <f t="shared" si="65"/>
        <v/>
      </c>
      <c r="B128" s="342">
        <f t="shared" si="68"/>
        <v>0</v>
      </c>
      <c r="C128" s="342">
        <f t="shared" ref="C128:M128" si="79">IF(B128&lt;&gt;0,B128,IF($D35=2,IF($E35=C$54,($C35*$B35)*52/12,0),0))</f>
        <v>0</v>
      </c>
      <c r="D128" s="342">
        <f t="shared" si="79"/>
        <v>0</v>
      </c>
      <c r="E128" s="342">
        <f t="shared" si="79"/>
        <v>0</v>
      </c>
      <c r="F128" s="342">
        <f t="shared" si="79"/>
        <v>0</v>
      </c>
      <c r="G128" s="342">
        <f t="shared" si="79"/>
        <v>0</v>
      </c>
      <c r="H128" s="342">
        <f t="shared" si="79"/>
        <v>0</v>
      </c>
      <c r="I128" s="342">
        <f t="shared" si="79"/>
        <v>0</v>
      </c>
      <c r="J128" s="342">
        <f t="shared" si="79"/>
        <v>0</v>
      </c>
      <c r="K128" s="342">
        <f t="shared" si="79"/>
        <v>0</v>
      </c>
      <c r="L128" s="342">
        <f t="shared" si="79"/>
        <v>0</v>
      </c>
      <c r="M128" s="342">
        <f t="shared" si="79"/>
        <v>0</v>
      </c>
    </row>
    <row r="129" spans="1:13">
      <c r="A129" s="372" t="str">
        <f t="shared" si="65"/>
        <v/>
      </c>
      <c r="B129" s="342">
        <f t="shared" si="68"/>
        <v>0</v>
      </c>
      <c r="C129" s="342">
        <f t="shared" ref="C129:M129" si="80">IF(B129&lt;&gt;0,B129,IF($D36=2,IF($E36=C$54,($C36*$B36)*52/12,0),0))</f>
        <v>0</v>
      </c>
      <c r="D129" s="342">
        <f t="shared" si="80"/>
        <v>0</v>
      </c>
      <c r="E129" s="342">
        <f t="shared" si="80"/>
        <v>0</v>
      </c>
      <c r="F129" s="342">
        <f t="shared" si="80"/>
        <v>0</v>
      </c>
      <c r="G129" s="342">
        <f t="shared" si="80"/>
        <v>0</v>
      </c>
      <c r="H129" s="342">
        <f t="shared" si="80"/>
        <v>0</v>
      </c>
      <c r="I129" s="342">
        <f t="shared" si="80"/>
        <v>0</v>
      </c>
      <c r="J129" s="342">
        <f t="shared" si="80"/>
        <v>0</v>
      </c>
      <c r="K129" s="342">
        <f t="shared" si="80"/>
        <v>0</v>
      </c>
      <c r="L129" s="342">
        <f t="shared" si="80"/>
        <v>0</v>
      </c>
      <c r="M129" s="342">
        <f t="shared" si="80"/>
        <v>0</v>
      </c>
    </row>
    <row r="130" spans="1:13">
      <c r="A130" s="372" t="str">
        <f t="shared" si="65"/>
        <v/>
      </c>
      <c r="B130" s="374">
        <f t="shared" si="68"/>
        <v>0</v>
      </c>
      <c r="C130" s="374">
        <f t="shared" ref="C130:M130" si="81">IF(B130&lt;&gt;0,B130,IF($D37=2,IF($E37=C$54,($C37*$B37)*52/12,0),0))</f>
        <v>0</v>
      </c>
      <c r="D130" s="374">
        <f t="shared" si="81"/>
        <v>0</v>
      </c>
      <c r="E130" s="374">
        <f t="shared" si="81"/>
        <v>0</v>
      </c>
      <c r="F130" s="374">
        <f t="shared" si="81"/>
        <v>0</v>
      </c>
      <c r="G130" s="374">
        <f t="shared" si="81"/>
        <v>0</v>
      </c>
      <c r="H130" s="374">
        <f t="shared" si="81"/>
        <v>0</v>
      </c>
      <c r="I130" s="374">
        <f t="shared" si="81"/>
        <v>0</v>
      </c>
      <c r="J130" s="374">
        <f t="shared" si="81"/>
        <v>0</v>
      </c>
      <c r="K130" s="374">
        <f t="shared" si="81"/>
        <v>0</v>
      </c>
      <c r="L130" s="374">
        <f t="shared" si="81"/>
        <v>0</v>
      </c>
      <c r="M130" s="374">
        <f t="shared" si="81"/>
        <v>0</v>
      </c>
    </row>
    <row r="131" spans="1:13">
      <c r="A131" s="372" t="str">
        <f t="shared" si="65"/>
        <v>Total Full Time</v>
      </c>
      <c r="B131" s="370">
        <f>SUM(B116:B130)</f>
        <v>0</v>
      </c>
      <c r="C131" s="370">
        <f t="shared" ref="C131:M131" si="82">SUM(C116:C130)</f>
        <v>0</v>
      </c>
      <c r="D131" s="370">
        <f t="shared" si="82"/>
        <v>0</v>
      </c>
      <c r="E131" s="370">
        <f t="shared" si="82"/>
        <v>0</v>
      </c>
      <c r="F131" s="370">
        <f t="shared" si="82"/>
        <v>0</v>
      </c>
      <c r="G131" s="370">
        <f t="shared" si="82"/>
        <v>0</v>
      </c>
      <c r="H131" s="370">
        <f t="shared" si="82"/>
        <v>0</v>
      </c>
      <c r="I131" s="370">
        <f t="shared" si="82"/>
        <v>0</v>
      </c>
      <c r="J131" s="370">
        <f t="shared" si="82"/>
        <v>0</v>
      </c>
      <c r="K131" s="370">
        <f t="shared" si="82"/>
        <v>0</v>
      </c>
      <c r="L131" s="370">
        <f t="shared" si="82"/>
        <v>0</v>
      </c>
      <c r="M131" s="370">
        <f t="shared" si="82"/>
        <v>0</v>
      </c>
    </row>
    <row r="132" spans="1:13">
      <c r="A132" s="372" t="str">
        <f t="shared" si="65"/>
        <v/>
      </c>
    </row>
    <row r="133" spans="1:13" ht="15">
      <c r="A133" s="379" t="str">
        <f t="shared" si="65"/>
        <v>Part time Hourly Job Title</v>
      </c>
      <c r="B133" s="342"/>
      <c r="C133" s="342"/>
      <c r="D133" s="342"/>
      <c r="E133" s="342"/>
      <c r="F133" s="342"/>
      <c r="G133" s="342"/>
      <c r="H133" s="342"/>
      <c r="I133" s="342"/>
      <c r="J133" s="342"/>
      <c r="K133" s="342"/>
      <c r="L133" s="342"/>
      <c r="M133" s="342"/>
    </row>
    <row r="134" spans="1:13">
      <c r="A134" s="372" t="str">
        <f t="shared" si="65"/>
        <v/>
      </c>
      <c r="B134" s="342">
        <f t="shared" ref="B134:B142" si="83">IF(M88&lt;&gt;0,M88*(1+G$3),IF($D41=2,IF($E41=B$54,($C41*$B41)*52/12,0),0))</f>
        <v>0</v>
      </c>
      <c r="C134" s="342">
        <f>IF(B134&lt;&gt;0,B134,IF($D41=2,IF($E41=C$54,($C41*$B41)*52/12,0),0))</f>
        <v>0</v>
      </c>
      <c r="D134" s="342">
        <f t="shared" ref="D134:M134" si="84">IF(C134&lt;&gt;0,C134,IF($D41=2,IF($E41=D$54,($C41*$B41)*52/12,0),0))</f>
        <v>0</v>
      </c>
      <c r="E134" s="342">
        <f t="shared" si="84"/>
        <v>0</v>
      </c>
      <c r="F134" s="342">
        <f t="shared" si="84"/>
        <v>0</v>
      </c>
      <c r="G134" s="342">
        <f t="shared" si="84"/>
        <v>0</v>
      </c>
      <c r="H134" s="342">
        <f t="shared" si="84"/>
        <v>0</v>
      </c>
      <c r="I134" s="342">
        <f t="shared" si="84"/>
        <v>0</v>
      </c>
      <c r="J134" s="342">
        <f t="shared" si="84"/>
        <v>0</v>
      </c>
      <c r="K134" s="342">
        <f t="shared" si="84"/>
        <v>0</v>
      </c>
      <c r="L134" s="342">
        <f t="shared" si="84"/>
        <v>0</v>
      </c>
      <c r="M134" s="342">
        <f t="shared" si="84"/>
        <v>0</v>
      </c>
    </row>
    <row r="135" spans="1:13">
      <c r="A135" s="372" t="str">
        <f t="shared" si="65"/>
        <v/>
      </c>
      <c r="B135" s="342">
        <f t="shared" si="83"/>
        <v>0</v>
      </c>
      <c r="C135" s="342">
        <f t="shared" ref="C135:M135" si="85">IF(B135&lt;&gt;0,B135,IF($D42=2,IF($E42=C$54,($C42*$B42)*52/12,0),0))</f>
        <v>0</v>
      </c>
      <c r="D135" s="342">
        <f t="shared" si="85"/>
        <v>0</v>
      </c>
      <c r="E135" s="342">
        <f t="shared" si="85"/>
        <v>0</v>
      </c>
      <c r="F135" s="342">
        <f t="shared" si="85"/>
        <v>0</v>
      </c>
      <c r="G135" s="342">
        <f t="shared" si="85"/>
        <v>0</v>
      </c>
      <c r="H135" s="342">
        <f t="shared" si="85"/>
        <v>0</v>
      </c>
      <c r="I135" s="342">
        <f t="shared" si="85"/>
        <v>0</v>
      </c>
      <c r="J135" s="342">
        <f t="shared" si="85"/>
        <v>0</v>
      </c>
      <c r="K135" s="342">
        <f t="shared" si="85"/>
        <v>0</v>
      </c>
      <c r="L135" s="342">
        <f t="shared" si="85"/>
        <v>0</v>
      </c>
      <c r="M135" s="342">
        <f t="shared" si="85"/>
        <v>0</v>
      </c>
    </row>
    <row r="136" spans="1:13">
      <c r="A136" s="372" t="str">
        <f t="shared" si="65"/>
        <v/>
      </c>
      <c r="B136" s="342">
        <f t="shared" si="83"/>
        <v>0</v>
      </c>
      <c r="C136" s="342">
        <f t="shared" ref="C136:M136" si="86">IF(B136&lt;&gt;0,B136,IF($D43=2,IF($E43=C$54,($C43*$B43)*52/12,0),0))</f>
        <v>0</v>
      </c>
      <c r="D136" s="342">
        <f t="shared" si="86"/>
        <v>0</v>
      </c>
      <c r="E136" s="342">
        <f t="shared" si="86"/>
        <v>0</v>
      </c>
      <c r="F136" s="342">
        <f t="shared" si="86"/>
        <v>0</v>
      </c>
      <c r="G136" s="342">
        <f t="shared" si="86"/>
        <v>0</v>
      </c>
      <c r="H136" s="342">
        <f t="shared" si="86"/>
        <v>0</v>
      </c>
      <c r="I136" s="342">
        <f t="shared" si="86"/>
        <v>0</v>
      </c>
      <c r="J136" s="342">
        <f t="shared" si="86"/>
        <v>0</v>
      </c>
      <c r="K136" s="342">
        <f t="shared" si="86"/>
        <v>0</v>
      </c>
      <c r="L136" s="342">
        <f t="shared" si="86"/>
        <v>0</v>
      </c>
      <c r="M136" s="342">
        <f t="shared" si="86"/>
        <v>0</v>
      </c>
    </row>
    <row r="137" spans="1:13">
      <c r="A137" s="372" t="str">
        <f t="shared" si="65"/>
        <v/>
      </c>
      <c r="B137" s="342">
        <f t="shared" si="83"/>
        <v>0</v>
      </c>
      <c r="C137" s="342">
        <f t="shared" ref="C137:M137" si="87">IF(B137&lt;&gt;0,B137,IF($D44=2,IF($E44=C$54,($C44*$B44)*52/12,0),0))</f>
        <v>0</v>
      </c>
      <c r="D137" s="342">
        <f t="shared" si="87"/>
        <v>0</v>
      </c>
      <c r="E137" s="342">
        <f t="shared" si="87"/>
        <v>0</v>
      </c>
      <c r="F137" s="342">
        <f t="shared" si="87"/>
        <v>0</v>
      </c>
      <c r="G137" s="342">
        <f t="shared" si="87"/>
        <v>0</v>
      </c>
      <c r="H137" s="342">
        <f t="shared" si="87"/>
        <v>0</v>
      </c>
      <c r="I137" s="342">
        <f t="shared" si="87"/>
        <v>0</v>
      </c>
      <c r="J137" s="342">
        <f t="shared" si="87"/>
        <v>0</v>
      </c>
      <c r="K137" s="342">
        <f t="shared" si="87"/>
        <v>0</v>
      </c>
      <c r="L137" s="342">
        <f t="shared" si="87"/>
        <v>0</v>
      </c>
      <c r="M137" s="342">
        <f t="shared" si="87"/>
        <v>0</v>
      </c>
    </row>
    <row r="138" spans="1:13">
      <c r="A138" s="372" t="str">
        <f t="shared" si="65"/>
        <v/>
      </c>
      <c r="B138" s="342">
        <f t="shared" si="83"/>
        <v>0</v>
      </c>
      <c r="C138" s="342">
        <f t="shared" ref="C138:M138" si="88">IF(B138&lt;&gt;0,B138,IF($D45=2,IF($E45=C$54,($C45*$B45)*52/12,0),0))</f>
        <v>0</v>
      </c>
      <c r="D138" s="342">
        <f t="shared" si="88"/>
        <v>0</v>
      </c>
      <c r="E138" s="342">
        <f t="shared" si="88"/>
        <v>0</v>
      </c>
      <c r="F138" s="342">
        <f t="shared" si="88"/>
        <v>0</v>
      </c>
      <c r="G138" s="342">
        <f t="shared" si="88"/>
        <v>0</v>
      </c>
      <c r="H138" s="342">
        <f t="shared" si="88"/>
        <v>0</v>
      </c>
      <c r="I138" s="342">
        <f t="shared" si="88"/>
        <v>0</v>
      </c>
      <c r="J138" s="342">
        <f t="shared" si="88"/>
        <v>0</v>
      </c>
      <c r="K138" s="342">
        <f t="shared" si="88"/>
        <v>0</v>
      </c>
      <c r="L138" s="342">
        <f t="shared" si="88"/>
        <v>0</v>
      </c>
      <c r="M138" s="342">
        <f t="shared" si="88"/>
        <v>0</v>
      </c>
    </row>
    <row r="139" spans="1:13">
      <c r="A139" s="372" t="str">
        <f t="shared" si="65"/>
        <v/>
      </c>
      <c r="B139" s="342">
        <f t="shared" si="83"/>
        <v>0</v>
      </c>
      <c r="C139" s="342">
        <f t="shared" ref="C139:M139" si="89">IF(B139&lt;&gt;0,B139,IF($D46=2,IF($E46=C$54,($C46*$B46)*52/12,0),0))</f>
        <v>0</v>
      </c>
      <c r="D139" s="342">
        <f t="shared" si="89"/>
        <v>0</v>
      </c>
      <c r="E139" s="342">
        <f t="shared" si="89"/>
        <v>0</v>
      </c>
      <c r="F139" s="342">
        <f t="shared" si="89"/>
        <v>0</v>
      </c>
      <c r="G139" s="342">
        <f t="shared" si="89"/>
        <v>0</v>
      </c>
      <c r="H139" s="342">
        <f t="shared" si="89"/>
        <v>0</v>
      </c>
      <c r="I139" s="342">
        <f t="shared" si="89"/>
        <v>0</v>
      </c>
      <c r="J139" s="342">
        <f t="shared" si="89"/>
        <v>0</v>
      </c>
      <c r="K139" s="342">
        <f t="shared" si="89"/>
        <v>0</v>
      </c>
      <c r="L139" s="342">
        <f t="shared" si="89"/>
        <v>0</v>
      </c>
      <c r="M139" s="342">
        <f t="shared" si="89"/>
        <v>0</v>
      </c>
    </row>
    <row r="140" spans="1:13">
      <c r="A140" s="372" t="str">
        <f t="shared" si="65"/>
        <v/>
      </c>
      <c r="B140" s="342">
        <f t="shared" si="83"/>
        <v>0</v>
      </c>
      <c r="C140" s="342">
        <f t="shared" ref="C140:M140" si="90">IF(B140&lt;&gt;0,B140,IF($D47=2,IF($E47=C$54,($C47*$B47)*52/12,0),0))</f>
        <v>0</v>
      </c>
      <c r="D140" s="342">
        <f t="shared" si="90"/>
        <v>0</v>
      </c>
      <c r="E140" s="342">
        <f t="shared" si="90"/>
        <v>0</v>
      </c>
      <c r="F140" s="342">
        <f t="shared" si="90"/>
        <v>0</v>
      </c>
      <c r="G140" s="342">
        <f t="shared" si="90"/>
        <v>0</v>
      </c>
      <c r="H140" s="342">
        <f t="shared" si="90"/>
        <v>0</v>
      </c>
      <c r="I140" s="342">
        <f t="shared" si="90"/>
        <v>0</v>
      </c>
      <c r="J140" s="342">
        <f t="shared" si="90"/>
        <v>0</v>
      </c>
      <c r="K140" s="342">
        <f t="shared" si="90"/>
        <v>0</v>
      </c>
      <c r="L140" s="342">
        <f t="shared" si="90"/>
        <v>0</v>
      </c>
      <c r="M140" s="342">
        <f t="shared" si="90"/>
        <v>0</v>
      </c>
    </row>
    <row r="141" spans="1:13">
      <c r="A141" s="372" t="str">
        <f t="shared" si="65"/>
        <v/>
      </c>
      <c r="B141" s="342">
        <f t="shared" si="83"/>
        <v>0</v>
      </c>
      <c r="C141" s="342">
        <f t="shared" ref="C141:M141" si="91">IF(B141&lt;&gt;0,B141,IF($D48=2,IF($E48=C$54,($C48*$B48)*52/12,0),0))</f>
        <v>0</v>
      </c>
      <c r="D141" s="342">
        <f t="shared" si="91"/>
        <v>0</v>
      </c>
      <c r="E141" s="342">
        <f t="shared" si="91"/>
        <v>0</v>
      </c>
      <c r="F141" s="342">
        <f t="shared" si="91"/>
        <v>0</v>
      </c>
      <c r="G141" s="342">
        <f t="shared" si="91"/>
        <v>0</v>
      </c>
      <c r="H141" s="342">
        <f t="shared" si="91"/>
        <v>0</v>
      </c>
      <c r="I141" s="342">
        <f t="shared" si="91"/>
        <v>0</v>
      </c>
      <c r="J141" s="342">
        <f t="shared" si="91"/>
        <v>0</v>
      </c>
      <c r="K141" s="342">
        <f t="shared" si="91"/>
        <v>0</v>
      </c>
      <c r="L141" s="342">
        <f t="shared" si="91"/>
        <v>0</v>
      </c>
      <c r="M141" s="342">
        <f t="shared" si="91"/>
        <v>0</v>
      </c>
    </row>
    <row r="142" spans="1:13">
      <c r="A142" s="368" t="str">
        <f>+A96</f>
        <v/>
      </c>
      <c r="B142" s="342">
        <f t="shared" si="83"/>
        <v>0</v>
      </c>
      <c r="C142" s="342">
        <f t="shared" ref="C142:M142" si="92">IF(B142&lt;&gt;0,B142,IF($D49=2,IF($E49=C$54,($C49*$B49)*52/12,0),0))</f>
        <v>0</v>
      </c>
      <c r="D142" s="342">
        <f t="shared" si="92"/>
        <v>0</v>
      </c>
      <c r="E142" s="342">
        <f t="shared" si="92"/>
        <v>0</v>
      </c>
      <c r="F142" s="342">
        <f t="shared" si="92"/>
        <v>0</v>
      </c>
      <c r="G142" s="342">
        <f t="shared" si="92"/>
        <v>0</v>
      </c>
      <c r="H142" s="342">
        <f t="shared" si="92"/>
        <v>0</v>
      </c>
      <c r="I142" s="342">
        <f t="shared" si="92"/>
        <v>0</v>
      </c>
      <c r="J142" s="342">
        <f t="shared" si="92"/>
        <v>0</v>
      </c>
      <c r="K142" s="342">
        <f t="shared" si="92"/>
        <v>0</v>
      </c>
      <c r="L142" s="342">
        <f t="shared" si="92"/>
        <v>0</v>
      </c>
      <c r="M142" s="342">
        <f t="shared" si="92"/>
        <v>0</v>
      </c>
    </row>
    <row r="143" spans="1:13">
      <c r="B143" s="378">
        <f>SUM(B134:B142)</f>
        <v>0</v>
      </c>
      <c r="C143" s="378">
        <f t="shared" ref="C143:M143" si="93">SUM(C134:C142)</f>
        <v>0</v>
      </c>
      <c r="D143" s="378">
        <f t="shared" si="93"/>
        <v>0</v>
      </c>
      <c r="E143" s="378">
        <f t="shared" si="93"/>
        <v>0</v>
      </c>
      <c r="F143" s="378">
        <f t="shared" si="93"/>
        <v>0</v>
      </c>
      <c r="G143" s="378">
        <f t="shared" si="93"/>
        <v>0</v>
      </c>
      <c r="H143" s="378">
        <f t="shared" si="93"/>
        <v>0</v>
      </c>
      <c r="I143" s="378">
        <f t="shared" si="93"/>
        <v>0</v>
      </c>
      <c r="J143" s="378">
        <f t="shared" si="93"/>
        <v>0</v>
      </c>
      <c r="K143" s="378">
        <f t="shared" si="93"/>
        <v>0</v>
      </c>
      <c r="L143" s="378">
        <f t="shared" si="93"/>
        <v>0</v>
      </c>
      <c r="M143" s="378">
        <f t="shared" si="93"/>
        <v>0</v>
      </c>
    </row>
    <row r="145" spans="1:13" ht="15.75">
      <c r="A145" s="375" t="s">
        <v>378</v>
      </c>
    </row>
    <row r="146" spans="1:13">
      <c r="A146" s="368"/>
      <c r="B146" s="187">
        <v>1</v>
      </c>
      <c r="C146" s="187">
        <v>2</v>
      </c>
      <c r="D146" s="187">
        <v>3</v>
      </c>
      <c r="E146" s="187">
        <v>4</v>
      </c>
      <c r="F146" s="187">
        <v>5</v>
      </c>
      <c r="G146" s="187">
        <v>6</v>
      </c>
      <c r="H146" s="187">
        <v>7</v>
      </c>
      <c r="I146" s="187">
        <v>8</v>
      </c>
      <c r="J146" s="187">
        <v>9</v>
      </c>
      <c r="K146" s="187">
        <v>10</v>
      </c>
      <c r="L146" s="187">
        <v>11</v>
      </c>
      <c r="M146" s="187">
        <v>12</v>
      </c>
    </row>
    <row r="147" spans="1:13">
      <c r="A147" s="1" t="s">
        <v>413</v>
      </c>
      <c r="B147" s="343">
        <f>+H6</f>
        <v>0</v>
      </c>
      <c r="C147" s="343">
        <f>+B147</f>
        <v>0</v>
      </c>
      <c r="D147" s="343">
        <f t="shared" ref="D147:M147" si="94">+C147</f>
        <v>0</v>
      </c>
      <c r="E147" s="343">
        <f t="shared" si="94"/>
        <v>0</v>
      </c>
      <c r="F147" s="343">
        <f t="shared" si="94"/>
        <v>0</v>
      </c>
      <c r="G147" s="343">
        <f t="shared" si="94"/>
        <v>0</v>
      </c>
      <c r="H147" s="343">
        <f t="shared" si="94"/>
        <v>0</v>
      </c>
      <c r="I147" s="343">
        <f t="shared" si="94"/>
        <v>0</v>
      </c>
      <c r="J147" s="343">
        <f t="shared" si="94"/>
        <v>0</v>
      </c>
      <c r="K147" s="343">
        <f t="shared" si="94"/>
        <v>0</v>
      </c>
      <c r="L147" s="343">
        <f t="shared" si="94"/>
        <v>0</v>
      </c>
      <c r="M147" s="343">
        <f t="shared" si="94"/>
        <v>0</v>
      </c>
    </row>
    <row r="148" spans="1:13">
      <c r="A148" s="372" t="str">
        <f t="shared" ref="A148" si="95">IF(A102="","",A102)</f>
        <v/>
      </c>
    </row>
    <row r="149" spans="1:13">
      <c r="A149" s="372" t="str">
        <f>IF(A103="","",A103)</f>
        <v/>
      </c>
      <c r="B149" s="342">
        <f>IF(M103&lt;&gt;0,M103*(1+$H$3),IF($D10=3,IF($E10=B$54,C$10,0),0))</f>
        <v>0</v>
      </c>
      <c r="C149" s="342">
        <f>IF(B149&lt;&gt;0,B149,IF($D10=3,IF($E10=C$54,$C10,0),0))</f>
        <v>0</v>
      </c>
      <c r="D149" s="342">
        <f t="shared" ref="D149:M149" si="96">IF(C149&lt;&gt;0,C149,IF($D10=3,IF($E10=D$54,$C10,0),0))</f>
        <v>0</v>
      </c>
      <c r="E149" s="342">
        <f t="shared" si="96"/>
        <v>0</v>
      </c>
      <c r="F149" s="342">
        <f t="shared" si="96"/>
        <v>0</v>
      </c>
      <c r="G149" s="342">
        <f t="shared" si="96"/>
        <v>0</v>
      </c>
      <c r="H149" s="342">
        <f t="shared" si="96"/>
        <v>0</v>
      </c>
      <c r="I149" s="342">
        <f t="shared" si="96"/>
        <v>0</v>
      </c>
      <c r="J149" s="342">
        <f t="shared" si="96"/>
        <v>0</v>
      </c>
      <c r="K149" s="342">
        <f t="shared" si="96"/>
        <v>0</v>
      </c>
      <c r="L149" s="342">
        <f t="shared" si="96"/>
        <v>0</v>
      </c>
      <c r="M149" s="342">
        <f t="shared" si="96"/>
        <v>0</v>
      </c>
    </row>
    <row r="150" spans="1:13">
      <c r="A150" s="372" t="str">
        <f t="shared" ref="A150:A158" si="97">IF(A104="","",A104)</f>
        <v/>
      </c>
      <c r="B150" s="342">
        <f t="shared" ref="B150:B157" si="98">IF(M104&lt;&gt;0,M104*(1+$H$3),IF($D11=3,IF($E11=B$54,C$10,0),0))</f>
        <v>0</v>
      </c>
      <c r="C150" s="342">
        <f t="shared" ref="C150:M150" si="99">IF(B150&lt;&gt;0,B150,IF($D11=3,IF($E11=C$54,$C11,0),0))</f>
        <v>0</v>
      </c>
      <c r="D150" s="342">
        <f t="shared" si="99"/>
        <v>0</v>
      </c>
      <c r="E150" s="342">
        <f t="shared" si="99"/>
        <v>0</v>
      </c>
      <c r="F150" s="342">
        <f t="shared" si="99"/>
        <v>0</v>
      </c>
      <c r="G150" s="342">
        <f t="shared" si="99"/>
        <v>0</v>
      </c>
      <c r="H150" s="342">
        <f t="shared" si="99"/>
        <v>0</v>
      </c>
      <c r="I150" s="342">
        <f t="shared" si="99"/>
        <v>0</v>
      </c>
      <c r="J150" s="342">
        <f t="shared" si="99"/>
        <v>0</v>
      </c>
      <c r="K150" s="342">
        <f t="shared" si="99"/>
        <v>0</v>
      </c>
      <c r="L150" s="342">
        <f t="shared" si="99"/>
        <v>0</v>
      </c>
      <c r="M150" s="342">
        <f t="shared" si="99"/>
        <v>0</v>
      </c>
    </row>
    <row r="151" spans="1:13">
      <c r="A151" s="372" t="str">
        <f t="shared" si="97"/>
        <v/>
      </c>
      <c r="B151" s="342">
        <f t="shared" si="98"/>
        <v>0</v>
      </c>
      <c r="C151" s="342">
        <f t="shared" ref="C151:M151" si="100">IF(B151&lt;&gt;0,B151,IF($D12=3,IF($E12=C$54,$C12,0),0))</f>
        <v>0</v>
      </c>
      <c r="D151" s="342">
        <f t="shared" si="100"/>
        <v>0</v>
      </c>
      <c r="E151" s="342">
        <f t="shared" si="100"/>
        <v>0</v>
      </c>
      <c r="F151" s="342">
        <f t="shared" si="100"/>
        <v>0</v>
      </c>
      <c r="G151" s="342">
        <f t="shared" si="100"/>
        <v>0</v>
      </c>
      <c r="H151" s="342">
        <f t="shared" si="100"/>
        <v>0</v>
      </c>
      <c r="I151" s="342">
        <f t="shared" si="100"/>
        <v>0</v>
      </c>
      <c r="J151" s="342">
        <f t="shared" si="100"/>
        <v>0</v>
      </c>
      <c r="K151" s="342">
        <f t="shared" si="100"/>
        <v>0</v>
      </c>
      <c r="L151" s="342">
        <f t="shared" si="100"/>
        <v>0</v>
      </c>
      <c r="M151" s="342">
        <f t="shared" si="100"/>
        <v>0</v>
      </c>
    </row>
    <row r="152" spans="1:13">
      <c r="A152" s="372" t="str">
        <f t="shared" si="97"/>
        <v/>
      </c>
      <c r="B152" s="342">
        <f t="shared" si="98"/>
        <v>0</v>
      </c>
      <c r="C152" s="342">
        <f t="shared" ref="C152:M152" si="101">IF(B152&lt;&gt;0,B152,IF($D13=3,IF($E13=C$54,$C13,0),0))</f>
        <v>0</v>
      </c>
      <c r="D152" s="342">
        <f t="shared" si="101"/>
        <v>0</v>
      </c>
      <c r="E152" s="342">
        <f t="shared" si="101"/>
        <v>0</v>
      </c>
      <c r="F152" s="342">
        <f t="shared" si="101"/>
        <v>0</v>
      </c>
      <c r="G152" s="342">
        <f t="shared" si="101"/>
        <v>0</v>
      </c>
      <c r="H152" s="342">
        <f t="shared" si="101"/>
        <v>0</v>
      </c>
      <c r="I152" s="342">
        <f t="shared" si="101"/>
        <v>0</v>
      </c>
      <c r="J152" s="342">
        <f t="shared" si="101"/>
        <v>0</v>
      </c>
      <c r="K152" s="342">
        <f t="shared" si="101"/>
        <v>0</v>
      </c>
      <c r="L152" s="342">
        <f t="shared" si="101"/>
        <v>0</v>
      </c>
      <c r="M152" s="342">
        <f t="shared" si="101"/>
        <v>0</v>
      </c>
    </row>
    <row r="153" spans="1:13">
      <c r="A153" s="372" t="str">
        <f t="shared" si="97"/>
        <v/>
      </c>
      <c r="B153" s="342">
        <f t="shared" si="98"/>
        <v>0</v>
      </c>
      <c r="C153" s="342">
        <f t="shared" ref="C153:M153" si="102">IF(B153&lt;&gt;0,B153,IF($D14=3,IF($E14=C$54,$C14,0),0))</f>
        <v>0</v>
      </c>
      <c r="D153" s="342">
        <f t="shared" si="102"/>
        <v>0</v>
      </c>
      <c r="E153" s="342">
        <f t="shared" si="102"/>
        <v>0</v>
      </c>
      <c r="F153" s="342">
        <f t="shared" si="102"/>
        <v>0</v>
      </c>
      <c r="G153" s="342">
        <f t="shared" si="102"/>
        <v>0</v>
      </c>
      <c r="H153" s="342">
        <f t="shared" si="102"/>
        <v>0</v>
      </c>
      <c r="I153" s="342">
        <f t="shared" si="102"/>
        <v>0</v>
      </c>
      <c r="J153" s="342">
        <f t="shared" si="102"/>
        <v>0</v>
      </c>
      <c r="K153" s="342">
        <f t="shared" si="102"/>
        <v>0</v>
      </c>
      <c r="L153" s="342">
        <f t="shared" si="102"/>
        <v>0</v>
      </c>
      <c r="M153" s="342">
        <f t="shared" si="102"/>
        <v>0</v>
      </c>
    </row>
    <row r="154" spans="1:13">
      <c r="A154" s="372" t="str">
        <f t="shared" si="97"/>
        <v/>
      </c>
      <c r="B154" s="342">
        <f t="shared" si="98"/>
        <v>0</v>
      </c>
      <c r="C154" s="342">
        <f t="shared" ref="C154:M154" si="103">IF(B154&lt;&gt;0,B154,IF($D15=3,IF($E15=C$54,$C15,0),0))</f>
        <v>0</v>
      </c>
      <c r="D154" s="342">
        <f t="shared" si="103"/>
        <v>0</v>
      </c>
      <c r="E154" s="342">
        <f t="shared" si="103"/>
        <v>0</v>
      </c>
      <c r="F154" s="342">
        <f t="shared" si="103"/>
        <v>0</v>
      </c>
      <c r="G154" s="342">
        <f t="shared" si="103"/>
        <v>0</v>
      </c>
      <c r="H154" s="342">
        <f t="shared" si="103"/>
        <v>0</v>
      </c>
      <c r="I154" s="342">
        <f t="shared" si="103"/>
        <v>0</v>
      </c>
      <c r="J154" s="342">
        <f t="shared" si="103"/>
        <v>0</v>
      </c>
      <c r="K154" s="342">
        <f t="shared" si="103"/>
        <v>0</v>
      </c>
      <c r="L154" s="342">
        <f t="shared" si="103"/>
        <v>0</v>
      </c>
      <c r="M154" s="342">
        <f t="shared" si="103"/>
        <v>0</v>
      </c>
    </row>
    <row r="155" spans="1:13">
      <c r="A155" s="372" t="str">
        <f t="shared" si="97"/>
        <v/>
      </c>
      <c r="B155" s="342">
        <f t="shared" si="98"/>
        <v>0</v>
      </c>
      <c r="C155" s="342">
        <f t="shared" ref="C155:M155" si="104">IF(B155&lt;&gt;0,B155,IF($D16=3,IF($E16=C$54,$C16,0),0))</f>
        <v>0</v>
      </c>
      <c r="D155" s="342">
        <f t="shared" si="104"/>
        <v>0</v>
      </c>
      <c r="E155" s="342">
        <f t="shared" si="104"/>
        <v>0</v>
      </c>
      <c r="F155" s="342">
        <f t="shared" si="104"/>
        <v>0</v>
      </c>
      <c r="G155" s="342">
        <f t="shared" si="104"/>
        <v>0</v>
      </c>
      <c r="H155" s="342">
        <f t="shared" si="104"/>
        <v>0</v>
      </c>
      <c r="I155" s="342">
        <f t="shared" si="104"/>
        <v>0</v>
      </c>
      <c r="J155" s="342">
        <f t="shared" si="104"/>
        <v>0</v>
      </c>
      <c r="K155" s="342">
        <f t="shared" si="104"/>
        <v>0</v>
      </c>
      <c r="L155" s="342">
        <f t="shared" si="104"/>
        <v>0</v>
      </c>
      <c r="M155" s="342">
        <f t="shared" si="104"/>
        <v>0</v>
      </c>
    </row>
    <row r="156" spans="1:13">
      <c r="A156" s="372" t="str">
        <f t="shared" si="97"/>
        <v/>
      </c>
      <c r="B156" s="342">
        <f t="shared" si="98"/>
        <v>0</v>
      </c>
      <c r="C156" s="342">
        <f t="shared" ref="C156:M156" si="105">IF(B156&lt;&gt;0,B156,IF($D17=3,IF($E17=C$54,$C17,0),0))</f>
        <v>0</v>
      </c>
      <c r="D156" s="342">
        <f t="shared" si="105"/>
        <v>0</v>
      </c>
      <c r="E156" s="342">
        <f t="shared" si="105"/>
        <v>0</v>
      </c>
      <c r="F156" s="342">
        <f t="shared" si="105"/>
        <v>0</v>
      </c>
      <c r="G156" s="342">
        <f t="shared" si="105"/>
        <v>0</v>
      </c>
      <c r="H156" s="342">
        <f t="shared" si="105"/>
        <v>0</v>
      </c>
      <c r="I156" s="342">
        <f t="shared" si="105"/>
        <v>0</v>
      </c>
      <c r="J156" s="342">
        <f t="shared" si="105"/>
        <v>0</v>
      </c>
      <c r="K156" s="342">
        <f t="shared" si="105"/>
        <v>0</v>
      </c>
      <c r="L156" s="342">
        <f t="shared" si="105"/>
        <v>0</v>
      </c>
      <c r="M156" s="342">
        <f t="shared" si="105"/>
        <v>0</v>
      </c>
    </row>
    <row r="157" spans="1:13">
      <c r="A157" s="372" t="str">
        <f t="shared" si="97"/>
        <v/>
      </c>
      <c r="B157" s="342">
        <f t="shared" si="98"/>
        <v>0</v>
      </c>
      <c r="C157" s="342">
        <f t="shared" ref="C157:M157" si="106">IF(B157&lt;&gt;0,B157,IF($D18=3,IF($E18=C$54,$C18,0),0))</f>
        <v>0</v>
      </c>
      <c r="D157" s="342">
        <f t="shared" si="106"/>
        <v>0</v>
      </c>
      <c r="E157" s="342">
        <f t="shared" si="106"/>
        <v>0</v>
      </c>
      <c r="F157" s="342">
        <f t="shared" si="106"/>
        <v>0</v>
      </c>
      <c r="G157" s="342">
        <f t="shared" si="106"/>
        <v>0</v>
      </c>
      <c r="H157" s="342">
        <f t="shared" si="106"/>
        <v>0</v>
      </c>
      <c r="I157" s="342">
        <f t="shared" si="106"/>
        <v>0</v>
      </c>
      <c r="J157" s="342">
        <f t="shared" si="106"/>
        <v>0</v>
      </c>
      <c r="K157" s="342">
        <f t="shared" si="106"/>
        <v>0</v>
      </c>
      <c r="L157" s="342">
        <f t="shared" si="106"/>
        <v>0</v>
      </c>
      <c r="M157" s="342">
        <f t="shared" si="106"/>
        <v>0</v>
      </c>
    </row>
    <row r="158" spans="1:13">
      <c r="A158" s="372" t="str">
        <f t="shared" si="97"/>
        <v>Total Salaried</v>
      </c>
      <c r="B158" s="380">
        <f>SUM(B149:B157)</f>
        <v>0</v>
      </c>
      <c r="C158" s="380">
        <f t="shared" ref="C158" si="107">SUM(C149:C157)</f>
        <v>0</v>
      </c>
      <c r="D158" s="380">
        <f t="shared" ref="D158" si="108">SUM(D149:D157)</f>
        <v>0</v>
      </c>
      <c r="E158" s="380">
        <f t="shared" ref="E158" si="109">SUM(E149:E157)</f>
        <v>0</v>
      </c>
      <c r="F158" s="380">
        <f t="shared" ref="F158" si="110">SUM(F149:F157)</f>
        <v>0</v>
      </c>
      <c r="G158" s="380">
        <f t="shared" ref="G158" si="111">SUM(G149:G157)</f>
        <v>0</v>
      </c>
      <c r="H158" s="380">
        <f t="shared" ref="H158" si="112">SUM(H149:H157)</f>
        <v>0</v>
      </c>
      <c r="I158" s="380">
        <f t="shared" ref="I158" si="113">SUM(I149:I157)</f>
        <v>0</v>
      </c>
      <c r="J158" s="380">
        <f t="shared" ref="J158" si="114">SUM(J149:J157)</f>
        <v>0</v>
      </c>
      <c r="K158" s="380">
        <f t="shared" ref="K158" si="115">SUM(K149:K157)</f>
        <v>0</v>
      </c>
      <c r="L158" s="380">
        <f t="shared" ref="L158" si="116">SUM(L149:L157)</f>
        <v>0</v>
      </c>
      <c r="M158" s="380">
        <f t="shared" ref="M158" si="117">SUM(M149:M157)</f>
        <v>0</v>
      </c>
    </row>
    <row r="159" spans="1:13">
      <c r="A159" s="372"/>
    </row>
    <row r="160" spans="1:13">
      <c r="A160" s="372" t="str">
        <f>IF(A113="","",A113)</f>
        <v/>
      </c>
    </row>
    <row r="161" spans="1:13" ht="15">
      <c r="A161" s="379" t="str">
        <f t="shared" ref="A161:A187" si="118">IF(A115="","",A115)</f>
        <v>Full Time Hourly Job Title</v>
      </c>
    </row>
    <row r="162" spans="1:13">
      <c r="A162" s="372" t="str">
        <f t="shared" si="118"/>
        <v/>
      </c>
      <c r="B162" s="342">
        <f>IF(M116&lt;&gt;0,M116*(1+H$3),IF($D23=3,IF($E23=B$54,($C23*$B23)*52/12,0),0))</f>
        <v>0</v>
      </c>
      <c r="C162" s="342">
        <f>IF(B162&lt;&gt;0,B162,IF($D23=3,IF($E23=C$54,($C23*$B23)*52/12,0),0))</f>
        <v>0</v>
      </c>
      <c r="D162" s="342">
        <f t="shared" ref="D162:M162" si="119">IF(C162&lt;&gt;0,C162,IF($D23=3,IF($E23=D$54,($C23*$B23)*52/12,0),0))</f>
        <v>0</v>
      </c>
      <c r="E162" s="342">
        <f t="shared" si="119"/>
        <v>0</v>
      </c>
      <c r="F162" s="342">
        <f t="shared" si="119"/>
        <v>0</v>
      </c>
      <c r="G162" s="342">
        <f t="shared" si="119"/>
        <v>0</v>
      </c>
      <c r="H162" s="342">
        <f t="shared" si="119"/>
        <v>0</v>
      </c>
      <c r="I162" s="342">
        <f t="shared" si="119"/>
        <v>0</v>
      </c>
      <c r="J162" s="342">
        <f t="shared" si="119"/>
        <v>0</v>
      </c>
      <c r="K162" s="342">
        <f t="shared" si="119"/>
        <v>0</v>
      </c>
      <c r="L162" s="342">
        <f t="shared" si="119"/>
        <v>0</v>
      </c>
      <c r="M162" s="342">
        <f t="shared" si="119"/>
        <v>0</v>
      </c>
    </row>
    <row r="163" spans="1:13">
      <c r="A163" s="372" t="str">
        <f t="shared" si="118"/>
        <v/>
      </c>
      <c r="B163" s="342">
        <f t="shared" ref="B163:B176" si="120">IF(M117&lt;&gt;0,M117*(1+H$3),IF($D24=3,IF($E24=B$54,($C24*$B24)*52/12,0),0))</f>
        <v>0</v>
      </c>
      <c r="C163" s="342">
        <f t="shared" ref="C163:M163" si="121">IF(B163&lt;&gt;0,B163,IF($D24=3,IF($E24=C$54,($C24*$B24)*52/12,0),0))</f>
        <v>0</v>
      </c>
      <c r="D163" s="342">
        <f t="shared" si="121"/>
        <v>0</v>
      </c>
      <c r="E163" s="342">
        <f t="shared" si="121"/>
        <v>0</v>
      </c>
      <c r="F163" s="342">
        <f t="shared" si="121"/>
        <v>0</v>
      </c>
      <c r="G163" s="342">
        <f t="shared" si="121"/>
        <v>0</v>
      </c>
      <c r="H163" s="342">
        <f t="shared" si="121"/>
        <v>0</v>
      </c>
      <c r="I163" s="342">
        <f t="shared" si="121"/>
        <v>0</v>
      </c>
      <c r="J163" s="342">
        <f t="shared" si="121"/>
        <v>0</v>
      </c>
      <c r="K163" s="342">
        <f t="shared" si="121"/>
        <v>0</v>
      </c>
      <c r="L163" s="342">
        <f t="shared" si="121"/>
        <v>0</v>
      </c>
      <c r="M163" s="342">
        <f t="shared" si="121"/>
        <v>0</v>
      </c>
    </row>
    <row r="164" spans="1:13">
      <c r="A164" s="372" t="str">
        <f t="shared" si="118"/>
        <v/>
      </c>
      <c r="B164" s="342">
        <f t="shared" si="120"/>
        <v>0</v>
      </c>
      <c r="C164" s="342">
        <f t="shared" ref="C164:M164" si="122">IF(B164&lt;&gt;0,B164,IF($D25=3,IF($E25=C$54,($C25*$B25)*52/12,0),0))</f>
        <v>0</v>
      </c>
      <c r="D164" s="342">
        <f t="shared" si="122"/>
        <v>0</v>
      </c>
      <c r="E164" s="342">
        <f t="shared" si="122"/>
        <v>0</v>
      </c>
      <c r="F164" s="342">
        <f t="shared" si="122"/>
        <v>0</v>
      </c>
      <c r="G164" s="342">
        <f t="shared" si="122"/>
        <v>0</v>
      </c>
      <c r="H164" s="342">
        <f t="shared" si="122"/>
        <v>0</v>
      </c>
      <c r="I164" s="342">
        <f t="shared" si="122"/>
        <v>0</v>
      </c>
      <c r="J164" s="342">
        <f t="shared" si="122"/>
        <v>0</v>
      </c>
      <c r="K164" s="342">
        <f t="shared" si="122"/>
        <v>0</v>
      </c>
      <c r="L164" s="342">
        <f t="shared" si="122"/>
        <v>0</v>
      </c>
      <c r="M164" s="342">
        <f t="shared" si="122"/>
        <v>0</v>
      </c>
    </row>
    <row r="165" spans="1:13">
      <c r="A165" s="372" t="str">
        <f t="shared" si="118"/>
        <v/>
      </c>
      <c r="B165" s="342">
        <f t="shared" si="120"/>
        <v>0</v>
      </c>
      <c r="C165" s="342">
        <f t="shared" ref="C165:M165" si="123">IF(B165&lt;&gt;0,B165,IF($D26=3,IF($E26=C$54,($C26*$B26)*52/12,0),0))</f>
        <v>0</v>
      </c>
      <c r="D165" s="342">
        <f t="shared" si="123"/>
        <v>0</v>
      </c>
      <c r="E165" s="342">
        <f t="shared" si="123"/>
        <v>0</v>
      </c>
      <c r="F165" s="342">
        <f t="shared" si="123"/>
        <v>0</v>
      </c>
      <c r="G165" s="342">
        <f t="shared" si="123"/>
        <v>0</v>
      </c>
      <c r="H165" s="342">
        <f t="shared" si="123"/>
        <v>0</v>
      </c>
      <c r="I165" s="342">
        <f t="shared" si="123"/>
        <v>0</v>
      </c>
      <c r="J165" s="342">
        <f t="shared" si="123"/>
        <v>0</v>
      </c>
      <c r="K165" s="342">
        <f t="shared" si="123"/>
        <v>0</v>
      </c>
      <c r="L165" s="342">
        <f t="shared" si="123"/>
        <v>0</v>
      </c>
      <c r="M165" s="342">
        <f t="shared" si="123"/>
        <v>0</v>
      </c>
    </row>
    <row r="166" spans="1:13">
      <c r="A166" s="372" t="str">
        <f t="shared" si="118"/>
        <v/>
      </c>
      <c r="B166" s="342">
        <f t="shared" si="120"/>
        <v>0</v>
      </c>
      <c r="C166" s="342">
        <f t="shared" ref="C166:M166" si="124">IF(B166&lt;&gt;0,B166,IF($D27=3,IF($E27=C$54,($C27*$B27)*52/12,0),0))</f>
        <v>0</v>
      </c>
      <c r="D166" s="342">
        <f t="shared" si="124"/>
        <v>0</v>
      </c>
      <c r="E166" s="342">
        <f t="shared" si="124"/>
        <v>0</v>
      </c>
      <c r="F166" s="342">
        <f t="shared" si="124"/>
        <v>0</v>
      </c>
      <c r="G166" s="342">
        <f t="shared" si="124"/>
        <v>0</v>
      </c>
      <c r="H166" s="342">
        <f t="shared" si="124"/>
        <v>0</v>
      </c>
      <c r="I166" s="342">
        <f t="shared" si="124"/>
        <v>0</v>
      </c>
      <c r="J166" s="342">
        <f t="shared" si="124"/>
        <v>0</v>
      </c>
      <c r="K166" s="342">
        <f t="shared" si="124"/>
        <v>0</v>
      </c>
      <c r="L166" s="342">
        <f t="shared" si="124"/>
        <v>0</v>
      </c>
      <c r="M166" s="342">
        <f t="shared" si="124"/>
        <v>0</v>
      </c>
    </row>
    <row r="167" spans="1:13">
      <c r="A167" s="372" t="str">
        <f t="shared" si="118"/>
        <v/>
      </c>
      <c r="B167" s="342">
        <f t="shared" si="120"/>
        <v>0</v>
      </c>
      <c r="C167" s="342">
        <f t="shared" ref="C167:M167" si="125">IF(B167&lt;&gt;0,B167,IF($D28=3,IF($E28=C$54,($C28*$B28)*52/12,0),0))</f>
        <v>0</v>
      </c>
      <c r="D167" s="342">
        <f t="shared" si="125"/>
        <v>0</v>
      </c>
      <c r="E167" s="342">
        <f t="shared" si="125"/>
        <v>0</v>
      </c>
      <c r="F167" s="342">
        <f t="shared" si="125"/>
        <v>0</v>
      </c>
      <c r="G167" s="342">
        <f t="shared" si="125"/>
        <v>0</v>
      </c>
      <c r="H167" s="342">
        <f t="shared" si="125"/>
        <v>0</v>
      </c>
      <c r="I167" s="342">
        <f t="shared" si="125"/>
        <v>0</v>
      </c>
      <c r="J167" s="342">
        <f t="shared" si="125"/>
        <v>0</v>
      </c>
      <c r="K167" s="342">
        <f t="shared" si="125"/>
        <v>0</v>
      </c>
      <c r="L167" s="342">
        <f t="shared" si="125"/>
        <v>0</v>
      </c>
      <c r="M167" s="342">
        <f t="shared" si="125"/>
        <v>0</v>
      </c>
    </row>
    <row r="168" spans="1:13">
      <c r="A168" s="372" t="str">
        <f t="shared" si="118"/>
        <v/>
      </c>
      <c r="B168" s="342">
        <f t="shared" si="120"/>
        <v>0</v>
      </c>
      <c r="C168" s="342">
        <f t="shared" ref="C168:M168" si="126">IF(B168&lt;&gt;0,B168,IF($D29=3,IF($E29=C$54,($C29*$B29)*52/12,0),0))</f>
        <v>0</v>
      </c>
      <c r="D168" s="342">
        <f t="shared" si="126"/>
        <v>0</v>
      </c>
      <c r="E168" s="342">
        <f t="shared" si="126"/>
        <v>0</v>
      </c>
      <c r="F168" s="342">
        <f t="shared" si="126"/>
        <v>0</v>
      </c>
      <c r="G168" s="342">
        <f t="shared" si="126"/>
        <v>0</v>
      </c>
      <c r="H168" s="342">
        <f t="shared" si="126"/>
        <v>0</v>
      </c>
      <c r="I168" s="342">
        <f t="shared" si="126"/>
        <v>0</v>
      </c>
      <c r="J168" s="342">
        <f t="shared" si="126"/>
        <v>0</v>
      </c>
      <c r="K168" s="342">
        <f t="shared" si="126"/>
        <v>0</v>
      </c>
      <c r="L168" s="342">
        <f t="shared" si="126"/>
        <v>0</v>
      </c>
      <c r="M168" s="342">
        <f t="shared" si="126"/>
        <v>0</v>
      </c>
    </row>
    <row r="169" spans="1:13">
      <c r="A169" s="372" t="str">
        <f t="shared" si="118"/>
        <v/>
      </c>
      <c r="B169" s="342">
        <f t="shared" si="120"/>
        <v>0</v>
      </c>
      <c r="C169" s="342">
        <f t="shared" ref="C169:M169" si="127">IF(B169&lt;&gt;0,B169,IF($D30=3,IF($E30=C$54,($C30*$B30)*52/12,0),0))</f>
        <v>0</v>
      </c>
      <c r="D169" s="342">
        <f t="shared" si="127"/>
        <v>0</v>
      </c>
      <c r="E169" s="342">
        <f t="shared" si="127"/>
        <v>0</v>
      </c>
      <c r="F169" s="342">
        <f t="shared" si="127"/>
        <v>0</v>
      </c>
      <c r="G169" s="342">
        <f t="shared" si="127"/>
        <v>0</v>
      </c>
      <c r="H169" s="342">
        <f t="shared" si="127"/>
        <v>0</v>
      </c>
      <c r="I169" s="342">
        <f t="shared" si="127"/>
        <v>0</v>
      </c>
      <c r="J169" s="342">
        <f t="shared" si="127"/>
        <v>0</v>
      </c>
      <c r="K169" s="342">
        <f t="shared" si="127"/>
        <v>0</v>
      </c>
      <c r="L169" s="342">
        <f t="shared" si="127"/>
        <v>0</v>
      </c>
      <c r="M169" s="342">
        <f t="shared" si="127"/>
        <v>0</v>
      </c>
    </row>
    <row r="170" spans="1:13">
      <c r="A170" s="372" t="str">
        <f t="shared" si="118"/>
        <v/>
      </c>
      <c r="B170" s="342">
        <f t="shared" si="120"/>
        <v>0</v>
      </c>
      <c r="C170" s="342">
        <f t="shared" ref="C170:M170" si="128">IF(B170&lt;&gt;0,B170,IF($D31=3,IF($E31=C$54,($C31*$B31)*52/12,0),0))</f>
        <v>0</v>
      </c>
      <c r="D170" s="342">
        <f t="shared" si="128"/>
        <v>0</v>
      </c>
      <c r="E170" s="342">
        <f t="shared" si="128"/>
        <v>0</v>
      </c>
      <c r="F170" s="342">
        <f t="shared" si="128"/>
        <v>0</v>
      </c>
      <c r="G170" s="342">
        <f t="shared" si="128"/>
        <v>0</v>
      </c>
      <c r="H170" s="342">
        <f t="shared" si="128"/>
        <v>0</v>
      </c>
      <c r="I170" s="342">
        <f t="shared" si="128"/>
        <v>0</v>
      </c>
      <c r="J170" s="342">
        <f t="shared" si="128"/>
        <v>0</v>
      </c>
      <c r="K170" s="342">
        <f t="shared" si="128"/>
        <v>0</v>
      </c>
      <c r="L170" s="342">
        <f t="shared" si="128"/>
        <v>0</v>
      </c>
      <c r="M170" s="342">
        <f t="shared" si="128"/>
        <v>0</v>
      </c>
    </row>
    <row r="171" spans="1:13">
      <c r="A171" s="372" t="str">
        <f t="shared" si="118"/>
        <v/>
      </c>
      <c r="B171" s="342">
        <f t="shared" si="120"/>
        <v>0</v>
      </c>
      <c r="C171" s="342">
        <f t="shared" ref="C171:M171" si="129">IF(B171&lt;&gt;0,B171,IF($D32=3,IF($E32=C$54,($C32*$B32)*52/12,0),0))</f>
        <v>0</v>
      </c>
      <c r="D171" s="342">
        <f t="shared" si="129"/>
        <v>0</v>
      </c>
      <c r="E171" s="342">
        <f t="shared" si="129"/>
        <v>0</v>
      </c>
      <c r="F171" s="342">
        <f t="shared" si="129"/>
        <v>0</v>
      </c>
      <c r="G171" s="342">
        <f t="shared" si="129"/>
        <v>0</v>
      </c>
      <c r="H171" s="342">
        <f t="shared" si="129"/>
        <v>0</v>
      </c>
      <c r="I171" s="342">
        <f t="shared" si="129"/>
        <v>0</v>
      </c>
      <c r="J171" s="342">
        <f t="shared" si="129"/>
        <v>0</v>
      </c>
      <c r="K171" s="342">
        <f t="shared" si="129"/>
        <v>0</v>
      </c>
      <c r="L171" s="342">
        <f t="shared" si="129"/>
        <v>0</v>
      </c>
      <c r="M171" s="342">
        <f t="shared" si="129"/>
        <v>0</v>
      </c>
    </row>
    <row r="172" spans="1:13">
      <c r="A172" s="372" t="str">
        <f t="shared" si="118"/>
        <v/>
      </c>
      <c r="B172" s="342">
        <f t="shared" si="120"/>
        <v>0</v>
      </c>
      <c r="C172" s="342">
        <f t="shared" ref="C172:M172" si="130">IF(B172&lt;&gt;0,B172,IF($D33=3,IF($E33=C$54,($C33*$B33)*52/12,0),0))</f>
        <v>0</v>
      </c>
      <c r="D172" s="342">
        <f t="shared" si="130"/>
        <v>0</v>
      </c>
      <c r="E172" s="342">
        <f t="shared" si="130"/>
        <v>0</v>
      </c>
      <c r="F172" s="342">
        <f t="shared" si="130"/>
        <v>0</v>
      </c>
      <c r="G172" s="342">
        <f t="shared" si="130"/>
        <v>0</v>
      </c>
      <c r="H172" s="342">
        <f t="shared" si="130"/>
        <v>0</v>
      </c>
      <c r="I172" s="342">
        <f t="shared" si="130"/>
        <v>0</v>
      </c>
      <c r="J172" s="342">
        <f t="shared" si="130"/>
        <v>0</v>
      </c>
      <c r="K172" s="342">
        <f t="shared" si="130"/>
        <v>0</v>
      </c>
      <c r="L172" s="342">
        <f t="shared" si="130"/>
        <v>0</v>
      </c>
      <c r="M172" s="342">
        <f t="shared" si="130"/>
        <v>0</v>
      </c>
    </row>
    <row r="173" spans="1:13">
      <c r="A173" s="372" t="str">
        <f t="shared" si="118"/>
        <v/>
      </c>
      <c r="B173" s="342">
        <f t="shared" si="120"/>
        <v>0</v>
      </c>
      <c r="C173" s="342">
        <f t="shared" ref="C173:M173" si="131">IF(B173&lt;&gt;0,B173,IF($D34=3,IF($E34=C$54,($C34*$B34)*52/12,0),0))</f>
        <v>0</v>
      </c>
      <c r="D173" s="342">
        <f t="shared" si="131"/>
        <v>0</v>
      </c>
      <c r="E173" s="342">
        <f t="shared" si="131"/>
        <v>0</v>
      </c>
      <c r="F173" s="342">
        <f t="shared" si="131"/>
        <v>0</v>
      </c>
      <c r="G173" s="342">
        <f t="shared" si="131"/>
        <v>0</v>
      </c>
      <c r="H173" s="342">
        <f t="shared" si="131"/>
        <v>0</v>
      </c>
      <c r="I173" s="342">
        <f t="shared" si="131"/>
        <v>0</v>
      </c>
      <c r="J173" s="342">
        <f t="shared" si="131"/>
        <v>0</v>
      </c>
      <c r="K173" s="342">
        <f t="shared" si="131"/>
        <v>0</v>
      </c>
      <c r="L173" s="342">
        <f t="shared" si="131"/>
        <v>0</v>
      </c>
      <c r="M173" s="342">
        <f t="shared" si="131"/>
        <v>0</v>
      </c>
    </row>
    <row r="174" spans="1:13">
      <c r="A174" s="372" t="str">
        <f t="shared" si="118"/>
        <v/>
      </c>
      <c r="B174" s="342">
        <f t="shared" si="120"/>
        <v>0</v>
      </c>
      <c r="C174" s="342">
        <f t="shared" ref="C174:M174" si="132">IF(B174&lt;&gt;0,B174,IF($D35=3,IF($E35=C$54,($C35*$B35)*52/12,0),0))</f>
        <v>0</v>
      </c>
      <c r="D174" s="342">
        <f t="shared" si="132"/>
        <v>0</v>
      </c>
      <c r="E174" s="342">
        <f t="shared" si="132"/>
        <v>0</v>
      </c>
      <c r="F174" s="342">
        <f t="shared" si="132"/>
        <v>0</v>
      </c>
      <c r="G174" s="342">
        <f t="shared" si="132"/>
        <v>0</v>
      </c>
      <c r="H174" s="342">
        <f t="shared" si="132"/>
        <v>0</v>
      </c>
      <c r="I174" s="342">
        <f t="shared" si="132"/>
        <v>0</v>
      </c>
      <c r="J174" s="342">
        <f t="shared" si="132"/>
        <v>0</v>
      </c>
      <c r="K174" s="342">
        <f t="shared" si="132"/>
        <v>0</v>
      </c>
      <c r="L174" s="342">
        <f t="shared" si="132"/>
        <v>0</v>
      </c>
      <c r="M174" s="342">
        <f t="shared" si="132"/>
        <v>0</v>
      </c>
    </row>
    <row r="175" spans="1:13">
      <c r="A175" s="372" t="str">
        <f t="shared" si="118"/>
        <v/>
      </c>
      <c r="B175" s="342">
        <f t="shared" si="120"/>
        <v>0</v>
      </c>
      <c r="C175" s="342">
        <f t="shared" ref="C175:M175" si="133">IF(B175&lt;&gt;0,B175,IF($D36=3,IF($E36=C$54,($C36*$B36)*52/12,0),0))</f>
        <v>0</v>
      </c>
      <c r="D175" s="342">
        <f t="shared" si="133"/>
        <v>0</v>
      </c>
      <c r="E175" s="342">
        <f t="shared" si="133"/>
        <v>0</v>
      </c>
      <c r="F175" s="342">
        <f t="shared" si="133"/>
        <v>0</v>
      </c>
      <c r="G175" s="342">
        <f t="shared" si="133"/>
        <v>0</v>
      </c>
      <c r="H175" s="342">
        <f t="shared" si="133"/>
        <v>0</v>
      </c>
      <c r="I175" s="342">
        <f t="shared" si="133"/>
        <v>0</v>
      </c>
      <c r="J175" s="342">
        <f t="shared" si="133"/>
        <v>0</v>
      </c>
      <c r="K175" s="342">
        <f t="shared" si="133"/>
        <v>0</v>
      </c>
      <c r="L175" s="342">
        <f t="shared" si="133"/>
        <v>0</v>
      </c>
      <c r="M175" s="342">
        <f t="shared" si="133"/>
        <v>0</v>
      </c>
    </row>
    <row r="176" spans="1:13">
      <c r="A176" s="372" t="str">
        <f t="shared" si="118"/>
        <v/>
      </c>
      <c r="B176" s="342">
        <f t="shared" si="120"/>
        <v>0</v>
      </c>
      <c r="C176" s="342">
        <f t="shared" ref="C176:M176" si="134">IF(B176&lt;&gt;0,B176,IF($D37=3,IF($E37=C$54,($C37*$B37)*52/12,0),0))</f>
        <v>0</v>
      </c>
      <c r="D176" s="342">
        <f t="shared" si="134"/>
        <v>0</v>
      </c>
      <c r="E176" s="342">
        <f t="shared" si="134"/>
        <v>0</v>
      </c>
      <c r="F176" s="342">
        <f t="shared" si="134"/>
        <v>0</v>
      </c>
      <c r="G176" s="342">
        <f t="shared" si="134"/>
        <v>0</v>
      </c>
      <c r="H176" s="342">
        <f t="shared" si="134"/>
        <v>0</v>
      </c>
      <c r="I176" s="342">
        <f t="shared" si="134"/>
        <v>0</v>
      </c>
      <c r="J176" s="342">
        <f t="shared" si="134"/>
        <v>0</v>
      </c>
      <c r="K176" s="342">
        <f t="shared" si="134"/>
        <v>0</v>
      </c>
      <c r="L176" s="342">
        <f t="shared" si="134"/>
        <v>0</v>
      </c>
      <c r="M176" s="342">
        <f t="shared" si="134"/>
        <v>0</v>
      </c>
    </row>
    <row r="177" spans="1:13">
      <c r="A177" s="372" t="str">
        <f t="shared" si="118"/>
        <v>Total Full Time</v>
      </c>
      <c r="B177" s="378">
        <f>SUM(B162:B176)</f>
        <v>0</v>
      </c>
      <c r="C177" s="378">
        <f t="shared" ref="C177" si="135">SUM(C162:C176)</f>
        <v>0</v>
      </c>
      <c r="D177" s="378">
        <f t="shared" ref="D177" si="136">SUM(D162:D176)</f>
        <v>0</v>
      </c>
      <c r="E177" s="378">
        <f t="shared" ref="E177" si="137">SUM(E162:E176)</f>
        <v>0</v>
      </c>
      <c r="F177" s="378">
        <f t="shared" ref="F177" si="138">SUM(F162:F176)</f>
        <v>0</v>
      </c>
      <c r="G177" s="378">
        <f t="shared" ref="G177" si="139">SUM(G162:G176)</f>
        <v>0</v>
      </c>
      <c r="H177" s="378">
        <f t="shared" ref="H177" si="140">SUM(H162:H176)</f>
        <v>0</v>
      </c>
      <c r="I177" s="378">
        <f t="shared" ref="I177" si="141">SUM(I162:I176)</f>
        <v>0</v>
      </c>
      <c r="J177" s="378">
        <f t="shared" ref="J177" si="142">SUM(J162:J176)</f>
        <v>0</v>
      </c>
      <c r="K177" s="378">
        <f t="shared" ref="K177" si="143">SUM(K162:K176)</f>
        <v>0</v>
      </c>
      <c r="L177" s="378">
        <f t="shared" ref="L177" si="144">SUM(L162:L176)</f>
        <v>0</v>
      </c>
      <c r="M177" s="378">
        <f t="shared" ref="M177" si="145">SUM(M162:M176)</f>
        <v>0</v>
      </c>
    </row>
    <row r="178" spans="1:13">
      <c r="A178" s="372" t="str">
        <f t="shared" si="118"/>
        <v/>
      </c>
    </row>
    <row r="179" spans="1:13" ht="15">
      <c r="A179" s="379" t="str">
        <f t="shared" si="118"/>
        <v>Part time Hourly Job Title</v>
      </c>
      <c r="B179" s="342"/>
      <c r="C179" s="342"/>
      <c r="D179" s="342"/>
      <c r="E179" s="342"/>
      <c r="F179" s="342"/>
      <c r="G179" s="342"/>
      <c r="H179" s="342"/>
      <c r="I179" s="342"/>
      <c r="J179" s="342"/>
      <c r="K179" s="342"/>
      <c r="L179" s="342"/>
      <c r="M179" s="342"/>
    </row>
    <row r="180" spans="1:13">
      <c r="A180" s="372" t="str">
        <f t="shared" si="118"/>
        <v/>
      </c>
      <c r="B180" s="342">
        <f>IF(M134&lt;&gt;0,M134*(1+H$3),IF($D41=3,IF($E41=B$54,($C41*$B41)*52/12,0),0))</f>
        <v>0</v>
      </c>
      <c r="C180" s="342">
        <f>IF(B180&lt;&gt;0,B180,IF($D41=3,IF($E41=C$54,($C41*$B41)*52/12,0),0))</f>
        <v>0</v>
      </c>
      <c r="D180" s="342">
        <f t="shared" ref="D180:M180" si="146">IF(C180&lt;&gt;0,C180,IF($D41=3,IF($E41=D$54,($C41*$B41)*52/12,0),0))</f>
        <v>0</v>
      </c>
      <c r="E180" s="342">
        <f t="shared" si="146"/>
        <v>0</v>
      </c>
      <c r="F180" s="342">
        <f t="shared" si="146"/>
        <v>0</v>
      </c>
      <c r="G180" s="342">
        <f t="shared" si="146"/>
        <v>0</v>
      </c>
      <c r="H180" s="342">
        <f t="shared" si="146"/>
        <v>0</v>
      </c>
      <c r="I180" s="342">
        <f t="shared" si="146"/>
        <v>0</v>
      </c>
      <c r="J180" s="342">
        <f t="shared" si="146"/>
        <v>0</v>
      </c>
      <c r="K180" s="342">
        <f t="shared" si="146"/>
        <v>0</v>
      </c>
      <c r="L180" s="342">
        <f t="shared" si="146"/>
        <v>0</v>
      </c>
      <c r="M180" s="342">
        <f t="shared" si="146"/>
        <v>0</v>
      </c>
    </row>
    <row r="181" spans="1:13">
      <c r="A181" s="372" t="str">
        <f t="shared" si="118"/>
        <v/>
      </c>
      <c r="B181" s="342">
        <f t="shared" ref="B181:B188" si="147">IF(M135&lt;&gt;0,M135*(1+H$3),IF($D42=3,IF($E42=B$54,($C42*$B42)*52/12,0),0))</f>
        <v>0</v>
      </c>
      <c r="C181" s="342">
        <f t="shared" ref="C181:M181" si="148">IF(B181&lt;&gt;0,B181,IF($D42=3,IF($E42=C$54,($C42*$B42)*52/12,0),0))</f>
        <v>0</v>
      </c>
      <c r="D181" s="342">
        <f t="shared" si="148"/>
        <v>0</v>
      </c>
      <c r="E181" s="342">
        <f t="shared" si="148"/>
        <v>0</v>
      </c>
      <c r="F181" s="342">
        <f t="shared" si="148"/>
        <v>0</v>
      </c>
      <c r="G181" s="342">
        <f t="shared" si="148"/>
        <v>0</v>
      </c>
      <c r="H181" s="342">
        <f t="shared" si="148"/>
        <v>0</v>
      </c>
      <c r="I181" s="342">
        <f t="shared" si="148"/>
        <v>0</v>
      </c>
      <c r="J181" s="342">
        <f t="shared" si="148"/>
        <v>0</v>
      </c>
      <c r="K181" s="342">
        <f t="shared" si="148"/>
        <v>0</v>
      </c>
      <c r="L181" s="342">
        <f t="shared" si="148"/>
        <v>0</v>
      </c>
      <c r="M181" s="342">
        <f t="shared" si="148"/>
        <v>0</v>
      </c>
    </row>
    <row r="182" spans="1:13">
      <c r="A182" s="372" t="str">
        <f t="shared" si="118"/>
        <v/>
      </c>
      <c r="B182" s="342">
        <f t="shared" si="147"/>
        <v>0</v>
      </c>
      <c r="C182" s="342">
        <f t="shared" ref="C182:M182" si="149">IF(B182&lt;&gt;0,B182,IF($D43=3,IF($E43=C$54,($C43*$B43)*52/12,0),0))</f>
        <v>0</v>
      </c>
      <c r="D182" s="342">
        <f t="shared" si="149"/>
        <v>0</v>
      </c>
      <c r="E182" s="342">
        <f t="shared" si="149"/>
        <v>0</v>
      </c>
      <c r="F182" s="342">
        <f t="shared" si="149"/>
        <v>0</v>
      </c>
      <c r="G182" s="342">
        <f t="shared" si="149"/>
        <v>0</v>
      </c>
      <c r="H182" s="342">
        <f t="shared" si="149"/>
        <v>0</v>
      </c>
      <c r="I182" s="342">
        <f t="shared" si="149"/>
        <v>0</v>
      </c>
      <c r="J182" s="342">
        <f t="shared" si="149"/>
        <v>0</v>
      </c>
      <c r="K182" s="342">
        <f t="shared" si="149"/>
        <v>0</v>
      </c>
      <c r="L182" s="342">
        <f t="shared" si="149"/>
        <v>0</v>
      </c>
      <c r="M182" s="342">
        <f t="shared" si="149"/>
        <v>0</v>
      </c>
    </row>
    <row r="183" spans="1:13">
      <c r="A183" s="372" t="str">
        <f t="shared" si="118"/>
        <v/>
      </c>
      <c r="B183" s="342">
        <f t="shared" si="147"/>
        <v>0</v>
      </c>
      <c r="C183" s="342">
        <f t="shared" ref="C183:M183" si="150">IF(B183&lt;&gt;0,B183,IF($D44=3,IF($E44=C$54,($C44*$B44)*52/12,0),0))</f>
        <v>0</v>
      </c>
      <c r="D183" s="342">
        <f t="shared" si="150"/>
        <v>0</v>
      </c>
      <c r="E183" s="342">
        <f t="shared" si="150"/>
        <v>0</v>
      </c>
      <c r="F183" s="342">
        <f t="shared" si="150"/>
        <v>0</v>
      </c>
      <c r="G183" s="342">
        <f t="shared" si="150"/>
        <v>0</v>
      </c>
      <c r="H183" s="342">
        <f t="shared" si="150"/>
        <v>0</v>
      </c>
      <c r="I183" s="342">
        <f t="shared" si="150"/>
        <v>0</v>
      </c>
      <c r="J183" s="342">
        <f t="shared" si="150"/>
        <v>0</v>
      </c>
      <c r="K183" s="342">
        <f t="shared" si="150"/>
        <v>0</v>
      </c>
      <c r="L183" s="342">
        <f t="shared" si="150"/>
        <v>0</v>
      </c>
      <c r="M183" s="342">
        <f t="shared" si="150"/>
        <v>0</v>
      </c>
    </row>
    <row r="184" spans="1:13">
      <c r="A184" s="372" t="str">
        <f t="shared" si="118"/>
        <v/>
      </c>
      <c r="B184" s="342">
        <f t="shared" si="147"/>
        <v>0</v>
      </c>
      <c r="C184" s="342">
        <f t="shared" ref="C184:M184" si="151">IF(B184&lt;&gt;0,B184,IF($D45=3,IF($E45=C$54,($C45*$B45)*52/12,0),0))</f>
        <v>0</v>
      </c>
      <c r="D184" s="342">
        <f t="shared" si="151"/>
        <v>0</v>
      </c>
      <c r="E184" s="342">
        <f t="shared" si="151"/>
        <v>0</v>
      </c>
      <c r="F184" s="342">
        <f t="shared" si="151"/>
        <v>0</v>
      </c>
      <c r="G184" s="342">
        <f t="shared" si="151"/>
        <v>0</v>
      </c>
      <c r="H184" s="342">
        <f t="shared" si="151"/>
        <v>0</v>
      </c>
      <c r="I184" s="342">
        <f t="shared" si="151"/>
        <v>0</v>
      </c>
      <c r="J184" s="342">
        <f t="shared" si="151"/>
        <v>0</v>
      </c>
      <c r="K184" s="342">
        <f t="shared" si="151"/>
        <v>0</v>
      </c>
      <c r="L184" s="342">
        <f t="shared" si="151"/>
        <v>0</v>
      </c>
      <c r="M184" s="342">
        <f t="shared" si="151"/>
        <v>0</v>
      </c>
    </row>
    <row r="185" spans="1:13">
      <c r="A185" s="372" t="str">
        <f t="shared" si="118"/>
        <v/>
      </c>
      <c r="B185" s="342">
        <f t="shared" si="147"/>
        <v>0</v>
      </c>
      <c r="C185" s="342">
        <f t="shared" ref="C185:M185" si="152">IF(B185&lt;&gt;0,B185,IF($D46=3,IF($E46=C$54,($C46*$B46)*52/12,0),0))</f>
        <v>0</v>
      </c>
      <c r="D185" s="342">
        <f t="shared" si="152"/>
        <v>0</v>
      </c>
      <c r="E185" s="342">
        <f t="shared" si="152"/>
        <v>0</v>
      </c>
      <c r="F185" s="342">
        <f t="shared" si="152"/>
        <v>0</v>
      </c>
      <c r="G185" s="342">
        <f t="shared" si="152"/>
        <v>0</v>
      </c>
      <c r="H185" s="342">
        <f t="shared" si="152"/>
        <v>0</v>
      </c>
      <c r="I185" s="342">
        <f t="shared" si="152"/>
        <v>0</v>
      </c>
      <c r="J185" s="342">
        <f t="shared" si="152"/>
        <v>0</v>
      </c>
      <c r="K185" s="342">
        <f t="shared" si="152"/>
        <v>0</v>
      </c>
      <c r="L185" s="342">
        <f t="shared" si="152"/>
        <v>0</v>
      </c>
      <c r="M185" s="342">
        <f t="shared" si="152"/>
        <v>0</v>
      </c>
    </row>
    <row r="186" spans="1:13">
      <c r="A186" s="372" t="str">
        <f t="shared" si="118"/>
        <v/>
      </c>
      <c r="B186" s="342">
        <f t="shared" si="147"/>
        <v>0</v>
      </c>
      <c r="C186" s="342">
        <f t="shared" ref="C186:M186" si="153">IF(B186&lt;&gt;0,B186,IF($D47=3,IF($E47=C$54,($C47*$B47)*52/12,0),0))</f>
        <v>0</v>
      </c>
      <c r="D186" s="342">
        <f t="shared" si="153"/>
        <v>0</v>
      </c>
      <c r="E186" s="342">
        <f t="shared" si="153"/>
        <v>0</v>
      </c>
      <c r="F186" s="342">
        <f t="shared" si="153"/>
        <v>0</v>
      </c>
      <c r="G186" s="342">
        <f t="shared" si="153"/>
        <v>0</v>
      </c>
      <c r="H186" s="342">
        <f t="shared" si="153"/>
        <v>0</v>
      </c>
      <c r="I186" s="342">
        <f t="shared" si="153"/>
        <v>0</v>
      </c>
      <c r="J186" s="342">
        <f t="shared" si="153"/>
        <v>0</v>
      </c>
      <c r="K186" s="342">
        <f t="shared" si="153"/>
        <v>0</v>
      </c>
      <c r="L186" s="342">
        <f t="shared" si="153"/>
        <v>0</v>
      </c>
      <c r="M186" s="342">
        <f t="shared" si="153"/>
        <v>0</v>
      </c>
    </row>
    <row r="187" spans="1:13">
      <c r="A187" s="372" t="str">
        <f t="shared" si="118"/>
        <v/>
      </c>
      <c r="B187" s="342">
        <f t="shared" si="147"/>
        <v>0</v>
      </c>
      <c r="C187" s="342">
        <f t="shared" ref="C187:M187" si="154">IF(B187&lt;&gt;0,B187,IF($D48=3,IF($E48=C$54,($C48*$B48)*52/12,0),0))</f>
        <v>0</v>
      </c>
      <c r="D187" s="342">
        <f t="shared" si="154"/>
        <v>0</v>
      </c>
      <c r="E187" s="342">
        <f t="shared" si="154"/>
        <v>0</v>
      </c>
      <c r="F187" s="342">
        <f t="shared" si="154"/>
        <v>0</v>
      </c>
      <c r="G187" s="342">
        <f t="shared" si="154"/>
        <v>0</v>
      </c>
      <c r="H187" s="342">
        <f t="shared" si="154"/>
        <v>0</v>
      </c>
      <c r="I187" s="342">
        <f t="shared" si="154"/>
        <v>0</v>
      </c>
      <c r="J187" s="342">
        <f t="shared" si="154"/>
        <v>0</v>
      </c>
      <c r="K187" s="342">
        <f t="shared" si="154"/>
        <v>0</v>
      </c>
      <c r="L187" s="342">
        <f t="shared" si="154"/>
        <v>0</v>
      </c>
      <c r="M187" s="342">
        <f t="shared" si="154"/>
        <v>0</v>
      </c>
    </row>
    <row r="188" spans="1:13">
      <c r="A188" s="368" t="str">
        <f>+A142</f>
        <v/>
      </c>
      <c r="B188" s="342">
        <f t="shared" si="147"/>
        <v>0</v>
      </c>
      <c r="C188" s="342">
        <f t="shared" ref="C188:M188" si="155">IF(B188&lt;&gt;0,B188,IF($D49=3,IF($E49=C$54,($C49*$B49)*52/12,0),0))</f>
        <v>0</v>
      </c>
      <c r="D188" s="342">
        <f t="shared" si="155"/>
        <v>0</v>
      </c>
      <c r="E188" s="342">
        <f t="shared" si="155"/>
        <v>0</v>
      </c>
      <c r="F188" s="342">
        <f t="shared" si="155"/>
        <v>0</v>
      </c>
      <c r="G188" s="342">
        <f t="shared" si="155"/>
        <v>0</v>
      </c>
      <c r="H188" s="342">
        <f t="shared" si="155"/>
        <v>0</v>
      </c>
      <c r="I188" s="342">
        <f t="shared" si="155"/>
        <v>0</v>
      </c>
      <c r="J188" s="342">
        <f t="shared" si="155"/>
        <v>0</v>
      </c>
      <c r="K188" s="342">
        <f t="shared" si="155"/>
        <v>0</v>
      </c>
      <c r="L188" s="342">
        <f t="shared" si="155"/>
        <v>0</v>
      </c>
      <c r="M188" s="342">
        <f t="shared" si="155"/>
        <v>0</v>
      </c>
    </row>
    <row r="189" spans="1:13">
      <c r="B189" s="378">
        <f>SUM(B180:B188)</f>
        <v>0</v>
      </c>
      <c r="C189" s="378">
        <f t="shared" ref="C189" si="156">SUM(C180:C188)</f>
        <v>0</v>
      </c>
      <c r="D189" s="378">
        <f t="shared" ref="D189" si="157">SUM(D180:D188)</f>
        <v>0</v>
      </c>
      <c r="E189" s="378">
        <f t="shared" ref="E189" si="158">SUM(E180:E188)</f>
        <v>0</v>
      </c>
      <c r="F189" s="378">
        <f t="shared" ref="F189" si="159">SUM(F180:F188)</f>
        <v>0</v>
      </c>
      <c r="G189" s="378">
        <f t="shared" ref="G189" si="160">SUM(G180:G188)</f>
        <v>0</v>
      </c>
      <c r="H189" s="378">
        <f t="shared" ref="H189" si="161">SUM(H180:H188)</f>
        <v>0</v>
      </c>
      <c r="I189" s="378">
        <f t="shared" ref="I189" si="162">SUM(I180:I188)</f>
        <v>0</v>
      </c>
      <c r="J189" s="378">
        <f t="shared" ref="J189" si="163">SUM(J180:J188)</f>
        <v>0</v>
      </c>
      <c r="K189" s="378">
        <f t="shared" ref="K189" si="164">SUM(K180:K188)</f>
        <v>0</v>
      </c>
      <c r="L189" s="378">
        <f t="shared" ref="L189" si="165">SUM(L180:L188)</f>
        <v>0</v>
      </c>
      <c r="M189" s="378">
        <f t="shared" ref="M189" si="166">SUM(M180:M188)</f>
        <v>0</v>
      </c>
    </row>
  </sheetData>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T59"/>
  <sheetViews>
    <sheetView showGridLines="0" zoomScale="80" zoomScaleNormal="80" workbookViewId="0">
      <selection activeCell="K25" sqref="K25"/>
    </sheetView>
  </sheetViews>
  <sheetFormatPr defaultColWidth="8.85546875" defaultRowHeight="12" outlineLevelRow="1"/>
  <cols>
    <col min="1" max="4" width="3" style="1" customWidth="1"/>
    <col min="5" max="5" width="18.85546875" customWidth="1"/>
    <col min="6" max="8" width="6.85546875" style="13" customWidth="1"/>
    <col min="9" max="9" width="12.85546875" customWidth="1"/>
    <col min="10" max="10" width="3" customWidth="1"/>
    <col min="11" max="11" width="12.85546875" customWidth="1"/>
    <col min="12" max="12" width="3.85546875" customWidth="1"/>
    <col min="13" max="13" width="18.85546875" customWidth="1"/>
    <col min="14" max="14" width="5.85546875" style="16" customWidth="1"/>
    <col min="15" max="17" width="18.85546875" customWidth="1"/>
    <col min="20" max="20" width="15.85546875" customWidth="1"/>
  </cols>
  <sheetData>
    <row r="1" spans="1:20" ht="15.75">
      <c r="A1" s="5" t="str">
        <f>'1. Required Start-Up Funds'!A1</f>
        <v xml:space="preserve"> </v>
      </c>
      <c r="T1" s="12">
        <f ca="1">NOW()</f>
        <v>44645.344484374997</v>
      </c>
    </row>
    <row r="2" spans="1:20" ht="15.75">
      <c r="A2" s="5" t="s">
        <v>294</v>
      </c>
    </row>
    <row r="3" spans="1:20">
      <c r="E3" s="1"/>
      <c r="F3" s="42"/>
      <c r="G3" s="42"/>
      <c r="H3" s="42"/>
      <c r="I3" s="37"/>
      <c r="J3" s="37"/>
      <c r="K3" s="37"/>
      <c r="L3" s="37"/>
      <c r="M3" s="37"/>
      <c r="N3" s="43"/>
      <c r="O3" s="37"/>
      <c r="P3" s="37"/>
      <c r="Q3" s="37"/>
      <c r="R3" s="37"/>
      <c r="S3" s="37"/>
      <c r="T3" s="37"/>
    </row>
    <row r="4" spans="1:20">
      <c r="E4" s="37"/>
      <c r="F4" s="42"/>
      <c r="G4" s="42"/>
      <c r="H4" s="42"/>
      <c r="I4" s="37"/>
      <c r="J4" s="37"/>
      <c r="K4" s="37"/>
      <c r="L4" s="37"/>
      <c r="M4" s="37"/>
      <c r="N4" s="43"/>
      <c r="O4" s="37"/>
      <c r="P4" s="37"/>
      <c r="Q4" s="37"/>
      <c r="R4" s="37"/>
      <c r="S4" s="37"/>
      <c r="T4" s="37"/>
    </row>
    <row r="5" spans="1:20" ht="12.75" customHeight="1">
      <c r="E5" s="37"/>
      <c r="F5" s="42"/>
      <c r="G5" s="42"/>
      <c r="H5" s="42"/>
      <c r="I5" s="37"/>
      <c r="J5" s="37"/>
      <c r="K5" s="37"/>
      <c r="L5" s="37"/>
      <c r="M5" s="37"/>
      <c r="N5" s="43"/>
      <c r="O5" s="37"/>
      <c r="P5" s="37"/>
      <c r="Q5" s="37"/>
      <c r="R5" s="37"/>
      <c r="S5" s="37"/>
      <c r="T5" s="37"/>
    </row>
    <row r="6" spans="1:20" ht="12.75" customHeight="1" thickBot="1">
      <c r="A6" s="1" t="s">
        <v>305</v>
      </c>
      <c r="E6" s="37"/>
      <c r="G6" s="38"/>
      <c r="H6" s="38"/>
      <c r="L6" s="39"/>
      <c r="M6" s="40" t="s">
        <v>292</v>
      </c>
      <c r="N6" s="41"/>
      <c r="O6" s="40" t="s">
        <v>283</v>
      </c>
      <c r="P6" s="40" t="s">
        <v>293</v>
      </c>
      <c r="Q6" s="40" t="s">
        <v>284</v>
      </c>
      <c r="R6" s="37"/>
      <c r="S6" s="37"/>
      <c r="T6" s="37"/>
    </row>
    <row r="7" spans="1:20" ht="12.75" customHeight="1" thickTop="1">
      <c r="E7" s="37"/>
      <c r="F7" s="42"/>
      <c r="G7" s="42"/>
      <c r="H7" s="42"/>
      <c r="I7" s="37"/>
      <c r="J7" s="37"/>
      <c r="K7" s="37"/>
      <c r="L7" s="37"/>
      <c r="M7" s="37"/>
      <c r="N7" s="43"/>
      <c r="O7" s="37"/>
      <c r="P7" s="37"/>
      <c r="Q7" s="37"/>
      <c r="R7" s="37"/>
      <c r="S7" s="37"/>
      <c r="T7" s="37"/>
    </row>
    <row r="8" spans="1:20" ht="12.75" customHeight="1">
      <c r="A8" s="1" t="s">
        <v>309</v>
      </c>
      <c r="E8" s="37"/>
      <c r="F8" s="42"/>
      <c r="G8" s="42"/>
      <c r="H8" s="42"/>
      <c r="I8" s="37"/>
      <c r="J8" s="37"/>
      <c r="K8" s="37"/>
      <c r="L8" s="37"/>
      <c r="M8" s="260"/>
      <c r="N8" s="261"/>
      <c r="O8" s="260"/>
      <c r="P8" s="262">
        <f>+'2.  Salary and Wage Detail'!G3</f>
        <v>0.03</v>
      </c>
      <c r="Q8" s="262">
        <f>+'2.  Salary and Wage Detail'!H3</f>
        <v>0.03</v>
      </c>
      <c r="R8" s="37"/>
      <c r="S8" s="37"/>
      <c r="T8" s="37"/>
    </row>
    <row r="9" spans="1:20" ht="12.75" customHeight="1">
      <c r="E9" s="37"/>
      <c r="F9" s="84"/>
      <c r="G9" s="208"/>
      <c r="H9" s="209"/>
      <c r="I9" s="37"/>
      <c r="J9" s="37"/>
      <c r="K9" s="37"/>
      <c r="L9" s="37"/>
      <c r="M9" s="260"/>
      <c r="N9" s="261"/>
      <c r="O9" s="260"/>
      <c r="P9" s="262"/>
      <c r="Q9" s="262"/>
      <c r="R9" s="37"/>
      <c r="S9" s="37"/>
      <c r="T9" s="37"/>
    </row>
    <row r="10" spans="1:20" ht="12.75" customHeight="1">
      <c r="E10" s="37"/>
      <c r="F10" s="210"/>
      <c r="G10" s="210"/>
      <c r="H10" s="210"/>
      <c r="I10" s="37"/>
      <c r="J10" s="37"/>
      <c r="K10" s="37"/>
      <c r="L10" s="37"/>
      <c r="M10" s="260"/>
      <c r="N10" s="261"/>
      <c r="O10" s="260"/>
      <c r="P10" s="260"/>
      <c r="Q10" s="260"/>
      <c r="R10" s="37"/>
      <c r="S10" s="37"/>
      <c r="T10" s="37"/>
    </row>
    <row r="11" spans="1:20" ht="12.75" customHeight="1">
      <c r="A11" s="1" t="s">
        <v>294</v>
      </c>
      <c r="E11" s="37"/>
      <c r="F11" s="211"/>
      <c r="G11" s="211"/>
      <c r="H11" s="211"/>
      <c r="I11" s="37"/>
      <c r="J11" s="37"/>
      <c r="K11" s="37"/>
      <c r="L11" s="37"/>
      <c r="M11" s="260"/>
      <c r="N11" s="261"/>
      <c r="O11" s="260"/>
      <c r="P11" s="260"/>
      <c r="Q11" s="260"/>
      <c r="R11" s="37"/>
      <c r="S11" s="37"/>
      <c r="T11" s="37"/>
    </row>
    <row r="12" spans="1:20" ht="12.75" customHeight="1">
      <c r="B12" s="1" t="s">
        <v>295</v>
      </c>
      <c r="E12" s="37"/>
      <c r="F12" s="212"/>
      <c r="G12" s="212"/>
      <c r="H12" s="212"/>
      <c r="I12" s="37"/>
      <c r="J12" s="37"/>
      <c r="K12" s="214"/>
      <c r="L12" s="37"/>
      <c r="M12" s="263">
        <f>+O12/12</f>
        <v>0</v>
      </c>
      <c r="N12" s="264"/>
      <c r="O12" s="265">
        <f>+'8. Income Statement'!Q31</f>
        <v>0</v>
      </c>
      <c r="P12" s="265">
        <f>+'12. Income Statement (2)'!Q31</f>
        <v>0</v>
      </c>
      <c r="Q12" s="265">
        <f>+'15. Income Statement (3)'!Q31</f>
        <v>0</v>
      </c>
      <c r="R12" s="37"/>
      <c r="S12" s="37"/>
      <c r="T12" s="37"/>
    </row>
    <row r="13" spans="1:20" ht="12.75" customHeight="1">
      <c r="B13" s="1" t="s">
        <v>296</v>
      </c>
      <c r="E13" s="37"/>
      <c r="F13" s="212"/>
      <c r="G13" s="212"/>
      <c r="H13" s="212"/>
      <c r="I13" s="37"/>
      <c r="J13" s="37"/>
      <c r="K13" s="224"/>
      <c r="L13" s="37"/>
      <c r="M13" s="263">
        <f>+O13/12</f>
        <v>0</v>
      </c>
      <c r="N13" s="266"/>
      <c r="O13" s="265">
        <f>+'8. Income Statement'!Q32</f>
        <v>0</v>
      </c>
      <c r="P13" s="265">
        <f>+'12. Income Statement (2)'!Q32</f>
        <v>0</v>
      </c>
      <c r="Q13" s="265">
        <f>+'15. Income Statement (3)'!Q32</f>
        <v>0</v>
      </c>
      <c r="R13" s="37"/>
      <c r="S13" s="37"/>
      <c r="T13" s="37"/>
    </row>
    <row r="14" spans="1:20" ht="12.75" customHeight="1" outlineLevel="1">
      <c r="B14" s="1" t="s">
        <v>297</v>
      </c>
      <c r="E14" s="37"/>
      <c r="F14" s="213"/>
      <c r="G14" s="213"/>
      <c r="H14" s="213"/>
      <c r="I14" s="37"/>
      <c r="J14" s="37"/>
      <c r="K14" s="37"/>
      <c r="L14" s="37"/>
      <c r="M14" s="265"/>
      <c r="N14" s="266"/>
      <c r="R14" s="37"/>
      <c r="S14" s="37"/>
      <c r="T14" s="37"/>
    </row>
    <row r="15" spans="1:20" ht="12.75" customHeight="1" outlineLevel="1">
      <c r="C15" s="1" t="s">
        <v>298</v>
      </c>
      <c r="E15" s="37"/>
      <c r="F15" s="212"/>
      <c r="G15" s="212"/>
      <c r="H15" s="212"/>
      <c r="I15" s="37"/>
      <c r="J15" s="37"/>
      <c r="K15" s="37"/>
      <c r="L15" s="37"/>
      <c r="M15" s="263">
        <f>+O15/12</f>
        <v>0</v>
      </c>
      <c r="N15" s="266"/>
      <c r="O15" s="265">
        <f>+'8. Income Statement'!Q33</f>
        <v>0</v>
      </c>
      <c r="P15" s="265">
        <f>+'12. Income Statement (2)'!Q33</f>
        <v>0</v>
      </c>
      <c r="Q15" s="265">
        <f>+'15. Income Statement (3)'!Q33</f>
        <v>0</v>
      </c>
      <c r="R15" s="37"/>
      <c r="S15" s="37"/>
      <c r="T15" s="37"/>
    </row>
    <row r="16" spans="1:20" ht="12.75" customHeight="1" outlineLevel="1">
      <c r="E16" s="37"/>
      <c r="F16" s="213"/>
      <c r="G16" s="213"/>
      <c r="H16" s="213"/>
      <c r="I16" s="215"/>
      <c r="J16" s="47"/>
      <c r="K16" s="47"/>
      <c r="L16" s="47"/>
      <c r="R16" s="37"/>
      <c r="S16" s="37"/>
      <c r="T16" s="37"/>
    </row>
    <row r="17" spans="1:20" ht="12.75" customHeight="1" outlineLevel="1">
      <c r="E17" s="37"/>
      <c r="F17" s="213"/>
      <c r="G17" s="213"/>
      <c r="H17" s="213"/>
      <c r="I17" s="216"/>
      <c r="J17" s="48"/>
      <c r="K17" s="48"/>
      <c r="L17" s="48"/>
      <c r="M17" s="260"/>
      <c r="N17" s="261"/>
      <c r="O17" s="260"/>
      <c r="P17" s="260"/>
      <c r="Q17" s="260"/>
      <c r="R17" s="37"/>
      <c r="S17" s="37"/>
      <c r="T17" s="37"/>
    </row>
    <row r="18" spans="1:20" ht="12.75" customHeight="1" outlineLevel="1">
      <c r="C18" s="1" t="s">
        <v>299</v>
      </c>
      <c r="E18" s="37"/>
      <c r="F18" s="212"/>
      <c r="G18" s="212"/>
      <c r="H18" s="212"/>
      <c r="I18" s="177"/>
      <c r="J18" s="37"/>
      <c r="K18" s="37"/>
      <c r="L18" s="37"/>
      <c r="M18" s="263">
        <f>+O18/12</f>
        <v>0</v>
      </c>
      <c r="N18" s="266"/>
      <c r="O18" s="265">
        <f>+'8. Income Statement'!Q34</f>
        <v>0</v>
      </c>
      <c r="P18" s="265">
        <f>+'12. Income Statement (2)'!Q34</f>
        <v>0</v>
      </c>
      <c r="Q18" s="265">
        <f>+'15. Income Statement (3)'!Q34</f>
        <v>0</v>
      </c>
      <c r="R18" s="37"/>
      <c r="S18" s="37"/>
      <c r="T18" s="37"/>
    </row>
    <row r="19" spans="1:20" ht="12.75" customHeight="1" outlineLevel="1">
      <c r="E19" s="37"/>
      <c r="F19" s="42"/>
      <c r="G19" s="42"/>
      <c r="H19" s="42"/>
      <c r="I19" s="215"/>
      <c r="J19" s="47"/>
      <c r="K19" s="47"/>
      <c r="L19" s="47"/>
      <c r="M19" s="265"/>
      <c r="N19" s="266"/>
      <c r="O19" s="260"/>
      <c r="P19" s="260"/>
      <c r="Q19" s="260"/>
      <c r="R19" s="37"/>
      <c r="S19" s="37"/>
      <c r="T19" s="37"/>
    </row>
    <row r="20" spans="1:20" ht="12.75" customHeight="1" outlineLevel="1">
      <c r="E20" s="37"/>
      <c r="F20" s="42"/>
      <c r="G20" s="42"/>
      <c r="H20" s="42"/>
      <c r="I20" s="216"/>
      <c r="J20" s="48"/>
      <c r="K20" s="48"/>
      <c r="L20" s="48"/>
      <c r="M20" s="260"/>
      <c r="N20" s="261"/>
      <c r="O20" s="260"/>
      <c r="P20" s="260"/>
      <c r="Q20" s="260"/>
      <c r="R20" s="37"/>
      <c r="S20" s="37"/>
      <c r="T20" s="37"/>
    </row>
    <row r="21" spans="1:20" ht="12.75" customHeight="1" outlineLevel="1" thickBot="1">
      <c r="B21" s="1" t="s">
        <v>300</v>
      </c>
      <c r="E21" s="37"/>
      <c r="F21" s="42"/>
      <c r="G21" s="42"/>
      <c r="H21" s="42"/>
      <c r="I21" s="37"/>
      <c r="J21" s="37"/>
      <c r="K21" s="37"/>
      <c r="L21" s="37"/>
      <c r="M21" s="339">
        <v>0</v>
      </c>
      <c r="N21" s="266"/>
      <c r="O21" s="267">
        <f>M21*12</f>
        <v>0</v>
      </c>
      <c r="P21" s="267">
        <f>O21*(1+$P$8)</f>
        <v>0</v>
      </c>
      <c r="Q21" s="267">
        <f>P21*(1+$Q$8)</f>
        <v>0</v>
      </c>
      <c r="R21" s="37"/>
      <c r="S21" s="37"/>
      <c r="T21" s="37"/>
    </row>
    <row r="22" spans="1:20" ht="12.75" customHeight="1">
      <c r="A22" s="1" t="s">
        <v>301</v>
      </c>
      <c r="E22" s="37"/>
      <c r="F22" s="42"/>
      <c r="G22" s="42"/>
      <c r="H22" s="42"/>
      <c r="I22" s="37"/>
      <c r="J22" s="37"/>
      <c r="K22" s="37"/>
      <c r="L22" s="37"/>
      <c r="M22" s="265">
        <f>SUM(M12:M21)</f>
        <v>0</v>
      </c>
      <c r="N22" s="268"/>
      <c r="O22" s="265">
        <f>SUM(O12:O21)</f>
        <v>0</v>
      </c>
      <c r="P22" s="265">
        <f>SUM(P12:P21)</f>
        <v>0</v>
      </c>
      <c r="Q22" s="265">
        <f>SUM(Q12:Q21)</f>
        <v>0</v>
      </c>
      <c r="R22" s="37"/>
      <c r="S22" s="37"/>
      <c r="T22" s="37"/>
    </row>
    <row r="23" spans="1:20" ht="12.75" customHeight="1">
      <c r="E23" s="37"/>
      <c r="F23" s="42"/>
      <c r="G23" s="42"/>
      <c r="H23" s="42"/>
      <c r="I23" s="37"/>
      <c r="J23" s="37"/>
      <c r="K23" s="37"/>
      <c r="L23" s="37"/>
      <c r="M23" s="37"/>
      <c r="N23" s="43"/>
      <c r="O23" s="37"/>
      <c r="P23" s="37"/>
      <c r="Q23" s="37"/>
      <c r="R23" s="37"/>
      <c r="S23" s="37"/>
      <c r="T23" s="37"/>
    </row>
    <row r="24" spans="1:20" ht="12.75" customHeight="1">
      <c r="A24" s="1" t="s">
        <v>302</v>
      </c>
      <c r="E24" s="37"/>
      <c r="F24" s="42"/>
      <c r="G24" s="42"/>
      <c r="H24" s="42"/>
      <c r="I24" s="39" t="s">
        <v>285</v>
      </c>
      <c r="J24" s="39"/>
      <c r="K24" s="39" t="s">
        <v>173</v>
      </c>
      <c r="L24" s="37"/>
      <c r="M24" s="37"/>
      <c r="N24" s="43"/>
      <c r="O24" s="37"/>
      <c r="P24" s="37"/>
      <c r="Q24" s="37"/>
      <c r="R24" s="37"/>
      <c r="S24" s="37"/>
      <c r="T24" s="37"/>
    </row>
    <row r="25" spans="1:20" ht="12.75" customHeight="1">
      <c r="B25" s="1" t="s">
        <v>310</v>
      </c>
      <c r="E25" s="37"/>
      <c r="F25" s="42"/>
      <c r="G25" s="42"/>
      <c r="H25" s="42"/>
      <c r="I25" s="121">
        <v>6.2E-2</v>
      </c>
      <c r="J25" s="51"/>
      <c r="K25" s="120">
        <v>142800</v>
      </c>
      <c r="L25" s="37"/>
      <c r="M25" s="45">
        <f>M22*$I$25</f>
        <v>0</v>
      </c>
      <c r="N25" s="46"/>
      <c r="O25" s="45">
        <f>O22*$I25</f>
        <v>0</v>
      </c>
      <c r="P25" s="45">
        <f>P22*$I$25</f>
        <v>0</v>
      </c>
      <c r="Q25" s="45">
        <f>Q22*$I$25</f>
        <v>0</v>
      </c>
      <c r="R25" s="37"/>
      <c r="S25" s="37"/>
      <c r="T25" s="37"/>
    </row>
    <row r="26" spans="1:20" ht="12.75" customHeight="1">
      <c r="B26" s="1" t="s">
        <v>311</v>
      </c>
      <c r="E26" s="37"/>
      <c r="F26" s="42"/>
      <c r="G26" s="42"/>
      <c r="H26" s="42"/>
      <c r="I26" s="121">
        <v>1.4500000000000001E-2</v>
      </c>
      <c r="J26" s="51"/>
      <c r="K26" s="121"/>
      <c r="L26" s="37"/>
      <c r="M26" s="45">
        <f>M22*$I$26</f>
        <v>0</v>
      </c>
      <c r="N26" s="46"/>
      <c r="O26" s="45">
        <f>O$22*$I26</f>
        <v>0</v>
      </c>
      <c r="P26" s="45">
        <f>P$22*$I26</f>
        <v>0</v>
      </c>
      <c r="Q26" s="45">
        <f>Q$22*$I26</f>
        <v>0</v>
      </c>
      <c r="R26" s="37"/>
      <c r="S26" s="37"/>
      <c r="T26" s="37"/>
    </row>
    <row r="27" spans="1:20" ht="12.75" customHeight="1">
      <c r="B27" s="1" t="s">
        <v>303</v>
      </c>
      <c r="E27" s="37"/>
      <c r="F27" s="42"/>
      <c r="G27" s="42"/>
      <c r="H27" s="42"/>
      <c r="I27" s="121">
        <v>0.06</v>
      </c>
      <c r="J27" s="51"/>
      <c r="K27" s="120">
        <v>7000</v>
      </c>
      <c r="L27" s="37"/>
      <c r="M27" s="45">
        <f>M22*I27</f>
        <v>0</v>
      </c>
      <c r="N27" s="46"/>
      <c r="O27" s="45">
        <f t="shared" ref="O27:Q32" si="0">O$22*$I27</f>
        <v>0</v>
      </c>
      <c r="P27" s="45">
        <f t="shared" si="0"/>
        <v>0</v>
      </c>
      <c r="Q27" s="45">
        <f t="shared" si="0"/>
        <v>0</v>
      </c>
      <c r="R27" s="37"/>
      <c r="S27" s="37"/>
      <c r="T27" s="37"/>
    </row>
    <row r="28" spans="1:20" ht="12.75" customHeight="1">
      <c r="B28" s="1" t="s">
        <v>11</v>
      </c>
      <c r="E28" s="37"/>
      <c r="F28" s="42"/>
      <c r="G28" s="42"/>
      <c r="H28" s="42"/>
      <c r="I28" s="121">
        <v>3.4000000000000002E-2</v>
      </c>
      <c r="J28" s="51"/>
      <c r="K28" s="120">
        <v>7000</v>
      </c>
      <c r="L28" s="37"/>
      <c r="M28" s="45">
        <f>+I28*M22</f>
        <v>0</v>
      </c>
      <c r="N28" s="46"/>
      <c r="O28" s="45">
        <f t="shared" si="0"/>
        <v>0</v>
      </c>
      <c r="P28" s="45">
        <f t="shared" si="0"/>
        <v>0</v>
      </c>
      <c r="Q28" s="45">
        <f t="shared" si="0"/>
        <v>0</v>
      </c>
      <c r="R28" s="37"/>
      <c r="S28" s="37"/>
      <c r="T28" s="37"/>
    </row>
    <row r="29" spans="1:20" ht="12.75" customHeight="1">
      <c r="B29" s="1" t="s">
        <v>308</v>
      </c>
      <c r="E29" s="37"/>
      <c r="F29" s="42"/>
      <c r="G29" s="42"/>
      <c r="H29" s="42"/>
      <c r="I29" s="119">
        <v>0</v>
      </c>
      <c r="J29" s="51"/>
      <c r="K29" s="52"/>
      <c r="L29" s="37"/>
      <c r="M29" s="45">
        <f>I29*M22</f>
        <v>0</v>
      </c>
      <c r="N29" s="46"/>
      <c r="O29" s="45">
        <f t="shared" si="0"/>
        <v>0</v>
      </c>
      <c r="P29" s="45">
        <f t="shared" si="0"/>
        <v>0</v>
      </c>
      <c r="Q29" s="45">
        <f t="shared" si="0"/>
        <v>0</v>
      </c>
      <c r="R29" s="37"/>
      <c r="S29" s="37"/>
      <c r="T29" s="37"/>
    </row>
    <row r="30" spans="1:20" ht="12.75" customHeight="1">
      <c r="B30" s="1" t="s">
        <v>304</v>
      </c>
      <c r="E30" s="37"/>
      <c r="F30" s="42"/>
      <c r="G30" s="42"/>
      <c r="H30" s="42"/>
      <c r="I30" s="130">
        <v>1.2E-2</v>
      </c>
      <c r="J30" s="37"/>
      <c r="K30" s="37"/>
      <c r="L30" s="37"/>
      <c r="M30" s="107">
        <f>I30*$M$22</f>
        <v>0</v>
      </c>
      <c r="N30" s="46"/>
      <c r="O30" s="45">
        <f t="shared" si="0"/>
        <v>0</v>
      </c>
      <c r="P30" s="45">
        <f t="shared" si="0"/>
        <v>0</v>
      </c>
      <c r="Q30" s="45">
        <f t="shared" si="0"/>
        <v>0</v>
      </c>
      <c r="R30" s="37"/>
      <c r="S30" s="37"/>
      <c r="T30" s="37"/>
    </row>
    <row r="31" spans="1:20" ht="12.75" customHeight="1">
      <c r="B31" s="1" t="s">
        <v>307</v>
      </c>
      <c r="E31" s="37"/>
      <c r="F31" s="42"/>
      <c r="G31" s="42"/>
      <c r="H31" s="42"/>
      <c r="I31" s="130">
        <v>0.01</v>
      </c>
      <c r="J31" s="37"/>
      <c r="K31" s="37"/>
      <c r="L31" s="37"/>
      <c r="M31" s="107">
        <f>I31*$M$22</f>
        <v>0</v>
      </c>
      <c r="N31" s="46"/>
      <c r="O31" s="45">
        <f t="shared" si="0"/>
        <v>0</v>
      </c>
      <c r="P31" s="45">
        <f t="shared" si="0"/>
        <v>0</v>
      </c>
      <c r="Q31" s="45">
        <f t="shared" si="0"/>
        <v>0</v>
      </c>
      <c r="R31" s="37"/>
      <c r="S31" s="37"/>
      <c r="T31" s="37"/>
    </row>
    <row r="32" spans="1:20" ht="12.75" customHeight="1" thickBot="1">
      <c r="B32" s="1" t="s">
        <v>12</v>
      </c>
      <c r="E32" s="37"/>
      <c r="F32" s="42"/>
      <c r="G32" s="42"/>
      <c r="H32" s="42"/>
      <c r="I32" s="130">
        <v>0.01</v>
      </c>
      <c r="J32" s="37"/>
      <c r="K32" s="52">
        <v>97000</v>
      </c>
      <c r="L32" s="37"/>
      <c r="M32" s="106">
        <f>I32*$M$22</f>
        <v>0</v>
      </c>
      <c r="N32" s="46"/>
      <c r="O32" s="49">
        <f t="shared" si="0"/>
        <v>0</v>
      </c>
      <c r="P32" s="49">
        <f t="shared" si="0"/>
        <v>0</v>
      </c>
      <c r="Q32" s="49">
        <f t="shared" si="0"/>
        <v>0</v>
      </c>
      <c r="R32" s="37"/>
      <c r="S32" s="37"/>
      <c r="T32" s="37"/>
    </row>
    <row r="33" spans="1:20" ht="12.75" customHeight="1">
      <c r="A33" s="1" t="s">
        <v>306</v>
      </c>
      <c r="E33" s="37"/>
      <c r="F33" s="42"/>
      <c r="G33" s="42"/>
      <c r="H33" s="42"/>
      <c r="I33" s="373">
        <f>SUM(I25:I32)</f>
        <v>0.20250000000000004</v>
      </c>
      <c r="J33" s="37"/>
      <c r="K33" s="37"/>
      <c r="L33" s="37"/>
      <c r="M33" s="45">
        <f>SUM(M25:M32)</f>
        <v>0</v>
      </c>
      <c r="N33" s="46"/>
      <c r="O33" s="45">
        <f>SUM(O25:O32)</f>
        <v>0</v>
      </c>
      <c r="P33" s="45">
        <f>SUM(P25:P32)</f>
        <v>0</v>
      </c>
      <c r="Q33" s="45">
        <f>SUM(Q25:Q32)</f>
        <v>0</v>
      </c>
      <c r="R33" s="37"/>
      <c r="S33" s="37"/>
      <c r="T33" s="37"/>
    </row>
    <row r="34" spans="1:20" ht="12.75" customHeight="1">
      <c r="E34" s="37"/>
      <c r="F34" s="42"/>
      <c r="G34" s="42"/>
      <c r="H34" s="42"/>
      <c r="I34" s="37"/>
      <c r="J34" s="37"/>
      <c r="K34" s="37"/>
      <c r="L34" s="37"/>
      <c r="M34" s="53"/>
      <c r="N34" s="54"/>
      <c r="O34" s="37"/>
      <c r="P34" s="37"/>
      <c r="Q34" s="37"/>
      <c r="R34" s="37"/>
      <c r="S34" s="37"/>
      <c r="T34" s="37"/>
    </row>
    <row r="35" spans="1:20" ht="12.75" customHeight="1" thickBot="1">
      <c r="E35" s="37"/>
      <c r="F35" s="42"/>
      <c r="G35" s="42"/>
      <c r="H35" s="42"/>
      <c r="I35" s="37"/>
      <c r="J35" s="37"/>
      <c r="K35" s="37"/>
      <c r="L35" s="37"/>
      <c r="M35" s="55"/>
      <c r="N35" s="43"/>
      <c r="O35" s="55"/>
      <c r="P35" s="55"/>
      <c r="Q35" s="55"/>
      <c r="R35" s="37"/>
      <c r="S35" s="37"/>
      <c r="T35" s="37"/>
    </row>
    <row r="36" spans="1:20" ht="18" customHeight="1" thickBot="1">
      <c r="A36" s="1" t="s">
        <v>312</v>
      </c>
      <c r="E36" s="37"/>
      <c r="F36" s="42"/>
      <c r="G36" s="42"/>
      <c r="H36" s="42"/>
      <c r="I36" s="37"/>
      <c r="J36" s="37"/>
      <c r="K36" s="37"/>
      <c r="L36" s="37"/>
      <c r="M36" s="57">
        <f>M22+M33</f>
        <v>0</v>
      </c>
      <c r="N36" s="46"/>
      <c r="O36" s="57">
        <f>O22+O33</f>
        <v>0</v>
      </c>
      <c r="P36" s="57">
        <f>P22+P33</f>
        <v>0</v>
      </c>
      <c r="Q36" s="57">
        <f>Q22+Q33</f>
        <v>0</v>
      </c>
      <c r="R36" s="37"/>
      <c r="S36" s="37"/>
      <c r="T36" s="37"/>
    </row>
    <row r="37" spans="1:20" ht="12.75" customHeight="1" thickTop="1">
      <c r="E37" s="37"/>
      <c r="F37" s="42"/>
      <c r="G37" s="42"/>
      <c r="H37" s="42"/>
      <c r="I37" s="37"/>
      <c r="J37" s="37"/>
      <c r="K37" s="37"/>
      <c r="L37" s="37"/>
      <c r="M37" s="37"/>
      <c r="N37" s="43"/>
      <c r="O37" s="37"/>
      <c r="P37" s="37"/>
      <c r="Q37" s="37"/>
      <c r="R37" s="37"/>
      <c r="S37" s="37"/>
      <c r="T37" s="37"/>
    </row>
    <row r="38" spans="1:20" ht="12.75" customHeight="1">
      <c r="E38" s="37"/>
      <c r="F38" s="42"/>
      <c r="G38" s="42"/>
      <c r="H38" s="42"/>
      <c r="I38" s="37"/>
      <c r="J38" s="37"/>
      <c r="K38" s="37"/>
      <c r="L38" s="37"/>
      <c r="M38" s="37"/>
      <c r="N38" s="43"/>
      <c r="O38" s="37"/>
      <c r="P38" s="37"/>
      <c r="Q38" s="37"/>
      <c r="R38" s="37"/>
      <c r="S38" s="37"/>
      <c r="T38" s="37"/>
    </row>
    <row r="39" spans="1:20" ht="12.75" customHeight="1">
      <c r="E39" s="37"/>
      <c r="F39" s="42"/>
      <c r="G39" s="42"/>
      <c r="H39" s="42"/>
      <c r="I39" s="37"/>
      <c r="J39" s="37"/>
      <c r="K39" s="37"/>
      <c r="L39" s="37"/>
      <c r="M39" s="37"/>
      <c r="N39" s="43"/>
      <c r="O39" s="37"/>
      <c r="P39" s="37"/>
      <c r="Q39" s="37"/>
      <c r="R39" s="37"/>
      <c r="S39" s="37"/>
      <c r="T39" s="37"/>
    </row>
    <row r="40" spans="1:20" ht="12.75" customHeight="1">
      <c r="E40" s="37"/>
      <c r="F40" s="42"/>
      <c r="G40" s="42"/>
      <c r="H40" s="42"/>
      <c r="I40" s="37"/>
      <c r="J40" s="37"/>
      <c r="K40" s="37"/>
      <c r="L40" s="37"/>
      <c r="M40" s="37"/>
      <c r="N40" s="43"/>
      <c r="O40" s="37"/>
      <c r="P40" s="37"/>
      <c r="Q40" s="37"/>
      <c r="R40" s="37"/>
      <c r="S40" s="37"/>
      <c r="T40" s="37"/>
    </row>
    <row r="41" spans="1:20" ht="12.75" customHeight="1">
      <c r="E41" s="37"/>
      <c r="F41" s="42"/>
      <c r="G41" s="42"/>
      <c r="H41" s="42"/>
      <c r="I41" s="37"/>
      <c r="J41" s="37"/>
      <c r="K41" s="37"/>
      <c r="L41" s="37"/>
      <c r="M41" s="37"/>
      <c r="N41" s="43"/>
      <c r="O41" s="53"/>
      <c r="P41" s="53"/>
      <c r="Q41" s="37"/>
      <c r="R41" s="37"/>
      <c r="S41" s="37"/>
      <c r="T41" s="37"/>
    </row>
    <row r="42" spans="1:20" ht="12.75" customHeight="1">
      <c r="E42" s="37"/>
      <c r="F42" s="42"/>
      <c r="G42" s="42"/>
      <c r="H42" s="42"/>
      <c r="I42" s="37"/>
      <c r="J42" s="37"/>
      <c r="K42" s="37"/>
      <c r="L42" s="37"/>
      <c r="M42" s="37"/>
      <c r="N42" s="43"/>
      <c r="O42" s="37"/>
      <c r="P42" s="37"/>
      <c r="Q42" s="37"/>
      <c r="R42" s="37"/>
      <c r="S42" s="37"/>
      <c r="T42" s="37"/>
    </row>
    <row r="43" spans="1:20" ht="12.75" customHeight="1">
      <c r="E43" s="37"/>
      <c r="F43" s="42"/>
      <c r="G43" s="42"/>
      <c r="H43" s="42"/>
      <c r="I43" s="37"/>
      <c r="J43" s="37"/>
      <c r="K43" s="37"/>
      <c r="L43" s="37"/>
      <c r="M43" s="37"/>
      <c r="N43" s="43"/>
      <c r="O43" s="37"/>
      <c r="P43" s="37"/>
      <c r="Q43" s="37"/>
      <c r="R43" s="37"/>
      <c r="S43" s="37"/>
      <c r="T43" s="37"/>
    </row>
    <row r="44" spans="1:20" ht="12.75" customHeight="1">
      <c r="E44" s="37"/>
      <c r="F44" s="42"/>
      <c r="G44" s="42"/>
      <c r="H44" s="42"/>
      <c r="I44" s="37"/>
      <c r="J44" s="37"/>
      <c r="K44" s="37"/>
      <c r="L44" s="37"/>
      <c r="M44" s="37"/>
      <c r="N44" s="43"/>
      <c r="O44" s="37"/>
      <c r="P44" s="37"/>
      <c r="Q44" s="37"/>
      <c r="R44" s="37"/>
      <c r="S44" s="37"/>
      <c r="T44" s="37"/>
    </row>
    <row r="45" spans="1:20" ht="12.75" customHeight="1">
      <c r="E45" s="37"/>
      <c r="F45" s="42"/>
      <c r="G45" s="42"/>
      <c r="H45" s="42"/>
      <c r="I45" s="37"/>
      <c r="J45" s="37"/>
      <c r="K45" s="37"/>
      <c r="L45" s="37"/>
      <c r="M45" s="37"/>
      <c r="N45" s="43"/>
      <c r="O45" s="37"/>
      <c r="P45" s="37"/>
      <c r="Q45" s="37"/>
      <c r="R45" s="37"/>
      <c r="S45" s="37"/>
      <c r="T45" s="37"/>
    </row>
    <row r="46" spans="1:20" ht="12.75" customHeight="1">
      <c r="E46" s="37"/>
      <c r="F46" s="42"/>
      <c r="G46" s="42"/>
      <c r="H46" s="42"/>
      <c r="I46" s="37"/>
      <c r="J46" s="37"/>
      <c r="K46" s="37"/>
      <c r="L46" s="37"/>
      <c r="M46" s="37"/>
      <c r="N46" s="43"/>
      <c r="O46" s="37"/>
      <c r="P46" s="37"/>
      <c r="Q46" s="37"/>
      <c r="R46" s="37"/>
      <c r="S46" s="37"/>
      <c r="T46" s="37"/>
    </row>
    <row r="47" spans="1:20" ht="12.75" customHeight="1">
      <c r="E47" s="37"/>
      <c r="F47" s="42"/>
      <c r="G47" s="42"/>
      <c r="H47" s="42"/>
      <c r="I47" s="37"/>
      <c r="J47" s="37"/>
      <c r="K47" s="37"/>
      <c r="L47" s="37"/>
      <c r="M47" s="37"/>
      <c r="N47" s="43"/>
      <c r="O47" s="37"/>
      <c r="P47" s="37"/>
      <c r="Q47" s="37"/>
      <c r="R47" s="37"/>
      <c r="S47" s="37"/>
      <c r="T47" s="37"/>
    </row>
    <row r="48" spans="1:20" ht="12.75" customHeight="1">
      <c r="E48" s="37"/>
      <c r="F48" s="42"/>
      <c r="G48" s="42"/>
      <c r="H48" s="42"/>
      <c r="I48" s="37"/>
      <c r="J48" s="37"/>
      <c r="K48" s="37"/>
      <c r="L48" s="37"/>
      <c r="M48" s="37"/>
      <c r="N48" s="43"/>
      <c r="O48" s="37"/>
      <c r="P48" s="37"/>
      <c r="Q48" s="37"/>
      <c r="R48" s="37"/>
      <c r="S48" s="37"/>
      <c r="T48" s="37"/>
    </row>
    <row r="49" spans="5:20" ht="12.75" customHeight="1">
      <c r="E49" s="37"/>
      <c r="F49" s="42"/>
      <c r="G49" s="42"/>
      <c r="H49" s="42"/>
      <c r="I49" s="37"/>
      <c r="J49" s="37"/>
      <c r="K49" s="37"/>
      <c r="L49" s="37"/>
      <c r="M49" s="37"/>
      <c r="N49" s="43"/>
      <c r="O49" s="37"/>
      <c r="P49" s="37"/>
      <c r="Q49" s="37"/>
      <c r="R49" s="37"/>
      <c r="S49" s="37"/>
      <c r="T49" s="37"/>
    </row>
    <row r="50" spans="5:20" ht="12.75" customHeight="1">
      <c r="E50" s="37"/>
      <c r="F50" s="42"/>
      <c r="G50" s="42"/>
      <c r="H50" s="42"/>
      <c r="I50" s="37"/>
      <c r="J50" s="37"/>
      <c r="K50" s="37"/>
      <c r="L50" s="37"/>
      <c r="M50" s="37"/>
      <c r="N50" s="43"/>
      <c r="O50" s="37"/>
      <c r="P50" s="37"/>
      <c r="Q50" s="37"/>
      <c r="R50" s="37"/>
      <c r="S50" s="37"/>
      <c r="T50" s="37"/>
    </row>
    <row r="51" spans="5:20" ht="12.75" customHeight="1">
      <c r="E51" s="37"/>
      <c r="F51" s="42"/>
      <c r="G51" s="42"/>
      <c r="H51" s="42"/>
      <c r="I51" s="37"/>
      <c r="J51" s="37"/>
      <c r="K51" s="37"/>
      <c r="L51" s="37"/>
      <c r="M51" s="37"/>
      <c r="N51" s="43"/>
      <c r="O51" s="37"/>
      <c r="P51" s="37"/>
      <c r="Q51" s="37"/>
      <c r="R51" s="37"/>
      <c r="S51" s="37"/>
      <c r="T51" s="37"/>
    </row>
    <row r="52" spans="5:20" ht="12.75" customHeight="1"/>
    <row r="53" spans="5:20" ht="12.75" customHeight="1"/>
    <row r="54" spans="5:20" ht="12.75" customHeight="1"/>
    <row r="55" spans="5:20" ht="12.75" customHeight="1"/>
    <row r="56" spans="5:20" ht="12.75" customHeight="1"/>
    <row r="57" spans="5:20" ht="12.75" customHeight="1"/>
    <row r="58" spans="5:20" ht="12.75" customHeight="1"/>
    <row r="59" spans="5:20" ht="12.75" customHeight="1"/>
  </sheetData>
  <sheetProtection selectLockedCells="1"/>
  <phoneticPr fontId="4" type="noConversion"/>
  <pageMargins left="0.75" right="0.75" top="1" bottom="1" header="0.5" footer="0.5"/>
  <pageSetup scale="75" orientation="landscape" blackAndWhite="1" horizontalDpi="300" verticalDpi="300" r:id="rId1"/>
  <headerFooter alignWithMargins="0"/>
  <ignoredErrors>
    <ignoredError sqref="M30:M32"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Q66"/>
  <sheetViews>
    <sheetView showGridLines="0" zoomScale="90" zoomScaleNormal="90" workbookViewId="0">
      <selection activeCell="G11" sqref="G11"/>
    </sheetView>
  </sheetViews>
  <sheetFormatPr defaultColWidth="8.85546875" defaultRowHeight="12"/>
  <cols>
    <col min="1" max="4" width="3" style="1" customWidth="1"/>
    <col min="5" max="5" width="20.85546875" customWidth="1"/>
    <col min="6" max="6" width="5.85546875" customWidth="1"/>
    <col min="7" max="7" width="18.85546875" customWidth="1"/>
    <col min="8" max="8" width="8.85546875" style="16" customWidth="1"/>
    <col min="9" max="11" width="18.85546875" customWidth="1"/>
    <col min="12" max="12" width="5.85546875" customWidth="1"/>
  </cols>
  <sheetData>
    <row r="1" spans="1:17" ht="15.75">
      <c r="A1" s="5" t="str">
        <f>'1. Required Start-Up Funds'!A1</f>
        <v xml:space="preserve"> </v>
      </c>
      <c r="Q1" s="12">
        <f ca="1">NOW()</f>
        <v>44645.344484374997</v>
      </c>
    </row>
    <row r="2" spans="1:17" ht="15.75">
      <c r="A2" s="5" t="s">
        <v>313</v>
      </c>
    </row>
    <row r="3" spans="1:17">
      <c r="E3" s="1"/>
      <c r="F3" s="37"/>
      <c r="G3" s="37"/>
      <c r="H3" s="43"/>
      <c r="I3" s="37"/>
      <c r="J3" s="37"/>
      <c r="K3" s="37"/>
      <c r="L3" s="37"/>
      <c r="M3" s="37"/>
      <c r="N3" s="37"/>
      <c r="O3" s="37"/>
      <c r="P3" s="37"/>
      <c r="Q3" s="37"/>
    </row>
    <row r="4" spans="1:17">
      <c r="E4" s="37"/>
      <c r="F4" s="37"/>
      <c r="G4" s="37"/>
      <c r="H4" s="43"/>
      <c r="I4" s="37"/>
      <c r="J4" s="37"/>
      <c r="K4" s="37"/>
      <c r="L4" s="37"/>
      <c r="M4" s="37"/>
      <c r="N4" s="37"/>
      <c r="O4" s="37"/>
      <c r="P4" s="37"/>
      <c r="Q4" s="37"/>
    </row>
    <row r="5" spans="1:17" ht="12.75" customHeight="1">
      <c r="E5" s="37"/>
      <c r="F5" s="37"/>
      <c r="G5" s="37"/>
      <c r="H5" s="43"/>
      <c r="I5" s="37"/>
      <c r="J5" s="37"/>
      <c r="K5" s="37"/>
      <c r="L5" s="37"/>
      <c r="M5" s="37"/>
      <c r="N5" s="37"/>
      <c r="O5" s="37"/>
      <c r="P5" s="37"/>
      <c r="Q5" s="37"/>
    </row>
    <row r="6" spans="1:17" ht="12.75" customHeight="1" thickBot="1">
      <c r="A6" s="1" t="s">
        <v>313</v>
      </c>
      <c r="E6" s="37"/>
      <c r="F6" s="39"/>
      <c r="G6" s="40" t="s">
        <v>292</v>
      </c>
      <c r="H6" s="41"/>
      <c r="I6" s="40" t="s">
        <v>283</v>
      </c>
      <c r="J6" s="40" t="s">
        <v>293</v>
      </c>
      <c r="K6" s="40" t="s">
        <v>284</v>
      </c>
      <c r="L6" s="37"/>
      <c r="M6" s="41" t="s">
        <v>250</v>
      </c>
      <c r="N6" s="37"/>
      <c r="O6" s="37"/>
      <c r="P6" s="37"/>
      <c r="Q6" s="37"/>
    </row>
    <row r="7" spans="1:17" ht="12.75" customHeight="1" thickTop="1">
      <c r="E7" s="37"/>
      <c r="F7" s="37"/>
      <c r="G7" s="37"/>
      <c r="H7" s="43"/>
      <c r="I7" s="37"/>
      <c r="J7" s="37"/>
      <c r="K7" s="37"/>
      <c r="L7" s="37"/>
      <c r="M7" s="37"/>
      <c r="N7" s="37"/>
      <c r="O7" s="37"/>
      <c r="P7" s="37"/>
      <c r="Q7" s="37"/>
    </row>
    <row r="8" spans="1:17" ht="12.75" customHeight="1">
      <c r="A8" s="1" t="s">
        <v>349</v>
      </c>
      <c r="E8" s="37"/>
      <c r="F8" s="37"/>
      <c r="G8" s="37"/>
      <c r="H8" s="43"/>
      <c r="I8" s="37"/>
      <c r="J8" s="119">
        <v>0.03</v>
      </c>
      <c r="K8" s="119">
        <v>0.03</v>
      </c>
      <c r="L8" s="37"/>
      <c r="M8" s="37"/>
      <c r="N8" s="37"/>
      <c r="O8" s="37"/>
      <c r="P8" s="37"/>
      <c r="Q8" s="37"/>
    </row>
    <row r="9" spans="1:17" ht="12.75" customHeight="1">
      <c r="E9" s="37"/>
      <c r="F9" s="37"/>
      <c r="G9" s="37"/>
      <c r="H9" s="43"/>
      <c r="I9" s="37"/>
      <c r="J9" s="37"/>
      <c r="K9" s="37"/>
      <c r="L9" s="37"/>
      <c r="M9" s="37"/>
      <c r="N9" s="37"/>
      <c r="O9" s="37"/>
      <c r="P9" s="37"/>
      <c r="Q9" s="37"/>
    </row>
    <row r="10" spans="1:17" ht="12.75" customHeight="1">
      <c r="A10" s="20" t="s">
        <v>314</v>
      </c>
      <c r="B10" s="20"/>
      <c r="C10" s="20"/>
      <c r="D10" s="20"/>
      <c r="E10" s="43"/>
      <c r="F10" s="43"/>
      <c r="G10" s="43"/>
      <c r="H10" s="43"/>
      <c r="I10" s="43"/>
      <c r="J10" s="43"/>
      <c r="K10" s="43"/>
      <c r="L10" s="37"/>
      <c r="M10" s="37"/>
      <c r="N10" s="37"/>
      <c r="O10" s="37"/>
      <c r="P10" s="37"/>
      <c r="Q10" s="37"/>
    </row>
    <row r="11" spans="1:17" ht="12.75" customHeight="1">
      <c r="A11" s="20"/>
      <c r="B11" s="129" t="s">
        <v>315</v>
      </c>
      <c r="C11" s="128"/>
      <c r="D11" s="128"/>
      <c r="E11" s="323"/>
      <c r="F11" s="43"/>
      <c r="G11" s="383"/>
      <c r="H11" s="44"/>
      <c r="I11" s="46">
        <f>G11*12</f>
        <v>0</v>
      </c>
      <c r="J11" s="46">
        <f>I11*(1+$J$8)</f>
        <v>0</v>
      </c>
      <c r="K11" s="46">
        <f>J11*(1+$K$8)</f>
        <v>0</v>
      </c>
      <c r="L11" s="37"/>
      <c r="M11" s="37"/>
      <c r="N11" s="37"/>
      <c r="O11" s="37"/>
      <c r="P11" s="37"/>
      <c r="Q11" s="37"/>
    </row>
    <row r="12" spans="1:17" ht="12.75" customHeight="1">
      <c r="A12" s="20"/>
      <c r="B12" s="129" t="s">
        <v>316</v>
      </c>
      <c r="C12" s="128"/>
      <c r="D12" s="128"/>
      <c r="E12" s="323"/>
      <c r="F12" s="43"/>
      <c r="G12" s="395"/>
      <c r="H12" s="46"/>
      <c r="I12" s="46">
        <f t="shared" ref="I12:I30" si="0">G12*12</f>
        <v>0</v>
      </c>
      <c r="J12" s="46">
        <f t="shared" ref="J12:J30" si="1">I12*(1+$J$8)</f>
        <v>0</v>
      </c>
      <c r="K12" s="46">
        <f t="shared" ref="K12:K30" si="2">J12*(1+$K$8)</f>
        <v>0</v>
      </c>
      <c r="L12" s="37"/>
      <c r="M12" s="37"/>
      <c r="N12" s="37"/>
      <c r="O12" s="37"/>
      <c r="P12" s="37"/>
      <c r="Q12" s="37"/>
    </row>
    <row r="13" spans="1:17" ht="12.75" customHeight="1">
      <c r="A13" s="20"/>
      <c r="B13" s="129" t="s">
        <v>95</v>
      </c>
      <c r="C13" s="128"/>
      <c r="D13" s="128"/>
      <c r="E13" s="323"/>
      <c r="F13" s="43"/>
      <c r="G13" s="395"/>
      <c r="H13" s="46"/>
      <c r="I13" s="46">
        <f t="shared" si="0"/>
        <v>0</v>
      </c>
      <c r="J13" s="46">
        <f t="shared" si="1"/>
        <v>0</v>
      </c>
      <c r="K13" s="46">
        <f t="shared" si="2"/>
        <v>0</v>
      </c>
      <c r="L13" s="37"/>
      <c r="M13" s="37"/>
      <c r="N13" s="37"/>
      <c r="O13" s="37"/>
      <c r="P13" s="37"/>
      <c r="Q13" s="37"/>
    </row>
    <row r="14" spans="1:17" ht="12.75" customHeight="1">
      <c r="A14" s="20"/>
      <c r="B14" s="129" t="s">
        <v>317</v>
      </c>
      <c r="C14" s="128"/>
      <c r="D14" s="128"/>
      <c r="E14" s="323"/>
      <c r="F14" s="43"/>
      <c r="G14" s="395"/>
      <c r="H14" s="46"/>
      <c r="I14" s="46">
        <f t="shared" si="0"/>
        <v>0</v>
      </c>
      <c r="J14" s="46">
        <f t="shared" si="1"/>
        <v>0</v>
      </c>
      <c r="K14" s="46">
        <f t="shared" si="2"/>
        <v>0</v>
      </c>
      <c r="L14" s="37"/>
      <c r="M14" s="37"/>
      <c r="N14" s="37"/>
      <c r="O14" s="37"/>
      <c r="P14" s="37"/>
      <c r="Q14" s="37"/>
    </row>
    <row r="15" spans="1:17" ht="12.75" customHeight="1">
      <c r="A15" s="20"/>
      <c r="B15" s="129" t="s">
        <v>345</v>
      </c>
      <c r="C15" s="128"/>
      <c r="D15" s="128"/>
      <c r="E15" s="323"/>
      <c r="F15" s="43"/>
      <c r="G15" s="395"/>
      <c r="H15" s="46"/>
      <c r="I15" s="46">
        <f t="shared" si="0"/>
        <v>0</v>
      </c>
      <c r="J15" s="46">
        <f t="shared" si="1"/>
        <v>0</v>
      </c>
      <c r="K15" s="46">
        <f t="shared" si="2"/>
        <v>0</v>
      </c>
      <c r="L15" s="37"/>
      <c r="M15" s="37"/>
      <c r="N15" s="37"/>
      <c r="O15" s="37"/>
      <c r="P15" s="37"/>
      <c r="Q15" s="37"/>
    </row>
    <row r="16" spans="1:17" ht="12.75" customHeight="1">
      <c r="A16" s="20"/>
      <c r="B16" s="129" t="s">
        <v>346</v>
      </c>
      <c r="C16" s="128"/>
      <c r="D16" s="128"/>
      <c r="E16" s="323"/>
      <c r="F16" s="56"/>
      <c r="G16" s="395"/>
      <c r="H16" s="46"/>
      <c r="I16" s="46">
        <f t="shared" si="0"/>
        <v>0</v>
      </c>
      <c r="J16" s="46">
        <f t="shared" si="1"/>
        <v>0</v>
      </c>
      <c r="K16" s="46">
        <f t="shared" si="2"/>
        <v>0</v>
      </c>
      <c r="L16" s="37"/>
      <c r="M16" s="37"/>
      <c r="N16" s="37"/>
      <c r="O16" s="37"/>
      <c r="P16" s="37"/>
      <c r="Q16" s="37"/>
    </row>
    <row r="17" spans="1:17" ht="12.75" customHeight="1">
      <c r="A17" s="20"/>
      <c r="B17" s="129" t="s">
        <v>323</v>
      </c>
      <c r="C17" s="128"/>
      <c r="D17" s="128"/>
      <c r="E17" s="323"/>
      <c r="F17" s="56"/>
      <c r="G17" s="395"/>
      <c r="H17" s="46"/>
      <c r="I17" s="46">
        <f t="shared" si="0"/>
        <v>0</v>
      </c>
      <c r="J17" s="46">
        <f t="shared" si="1"/>
        <v>0</v>
      </c>
      <c r="K17" s="46">
        <f t="shared" si="2"/>
        <v>0</v>
      </c>
      <c r="L17" s="37"/>
      <c r="M17" s="37"/>
      <c r="N17" s="37"/>
      <c r="O17" s="37"/>
      <c r="P17" s="37"/>
      <c r="Q17" s="37"/>
    </row>
    <row r="18" spans="1:17" ht="12.75" customHeight="1">
      <c r="A18" s="20"/>
      <c r="B18" s="129" t="s">
        <v>98</v>
      </c>
      <c r="C18" s="128"/>
      <c r="D18" s="128"/>
      <c r="E18" s="323"/>
      <c r="F18" s="58"/>
      <c r="G18" s="395"/>
      <c r="H18" s="46"/>
      <c r="I18" s="46">
        <f t="shared" si="0"/>
        <v>0</v>
      </c>
      <c r="J18" s="46">
        <f t="shared" si="1"/>
        <v>0</v>
      </c>
      <c r="K18" s="46">
        <f t="shared" si="2"/>
        <v>0</v>
      </c>
      <c r="L18" s="37"/>
      <c r="M18" s="37"/>
      <c r="N18" s="37"/>
      <c r="O18" s="37"/>
      <c r="P18" s="37"/>
      <c r="Q18" s="37"/>
    </row>
    <row r="19" spans="1:17" ht="12.75" customHeight="1">
      <c r="A19" s="20"/>
      <c r="B19" s="129" t="s">
        <v>318</v>
      </c>
      <c r="C19" s="128"/>
      <c r="D19" s="128"/>
      <c r="E19" s="323"/>
      <c r="F19" s="43"/>
      <c r="G19" s="395"/>
      <c r="H19" s="46"/>
      <c r="I19" s="46">
        <f t="shared" si="0"/>
        <v>0</v>
      </c>
      <c r="J19" s="46">
        <f t="shared" si="1"/>
        <v>0</v>
      </c>
      <c r="K19" s="46">
        <f t="shared" si="2"/>
        <v>0</v>
      </c>
      <c r="L19" s="37"/>
      <c r="M19" s="37"/>
      <c r="N19" s="37"/>
      <c r="O19" s="37"/>
      <c r="P19" s="37"/>
      <c r="Q19" s="37"/>
    </row>
    <row r="20" spans="1:17" ht="12.75" customHeight="1">
      <c r="A20" s="20"/>
      <c r="B20" s="129" t="s">
        <v>96</v>
      </c>
      <c r="C20" s="128"/>
      <c r="D20" s="128"/>
      <c r="E20" s="323"/>
      <c r="F20" s="43"/>
      <c r="G20" s="395"/>
      <c r="H20" s="46"/>
      <c r="I20" s="46">
        <f t="shared" si="0"/>
        <v>0</v>
      </c>
      <c r="J20" s="46">
        <f t="shared" si="1"/>
        <v>0</v>
      </c>
      <c r="K20" s="46">
        <f t="shared" si="2"/>
        <v>0</v>
      </c>
      <c r="L20" s="37"/>
      <c r="M20" s="37"/>
      <c r="N20" s="37"/>
      <c r="O20" s="37"/>
      <c r="P20" s="37"/>
      <c r="Q20" s="37"/>
    </row>
    <row r="21" spans="1:17" ht="12.75" customHeight="1">
      <c r="A21" s="20"/>
      <c r="B21" s="129" t="s">
        <v>347</v>
      </c>
      <c r="C21" s="128"/>
      <c r="D21" s="128"/>
      <c r="E21" s="323"/>
      <c r="F21" s="56"/>
      <c r="G21" s="395"/>
      <c r="H21" s="46"/>
      <c r="I21" s="46">
        <f t="shared" si="0"/>
        <v>0</v>
      </c>
      <c r="J21" s="46">
        <f t="shared" si="1"/>
        <v>0</v>
      </c>
      <c r="K21" s="46">
        <f t="shared" si="2"/>
        <v>0</v>
      </c>
      <c r="L21" s="37"/>
      <c r="M21" s="37"/>
      <c r="N21" s="37"/>
      <c r="O21" s="37"/>
      <c r="P21" s="37"/>
      <c r="Q21" s="37"/>
    </row>
    <row r="22" spans="1:17" ht="12.75" customHeight="1">
      <c r="A22" s="20"/>
      <c r="B22" s="129" t="s">
        <v>103</v>
      </c>
      <c r="C22" s="128"/>
      <c r="D22" s="128"/>
      <c r="E22" s="323"/>
      <c r="F22" s="58"/>
      <c r="G22" s="395"/>
      <c r="H22" s="46"/>
      <c r="I22" s="46">
        <f t="shared" si="0"/>
        <v>0</v>
      </c>
      <c r="J22" s="46">
        <f t="shared" si="1"/>
        <v>0</v>
      </c>
      <c r="K22" s="46">
        <f t="shared" si="2"/>
        <v>0</v>
      </c>
      <c r="L22" s="37"/>
      <c r="M22" s="37"/>
      <c r="N22" s="37"/>
      <c r="O22" s="37"/>
      <c r="P22" s="37"/>
      <c r="Q22" s="37"/>
    </row>
    <row r="23" spans="1:17" ht="12.75" customHeight="1">
      <c r="A23" s="20"/>
      <c r="B23" s="129" t="s">
        <v>319</v>
      </c>
      <c r="C23" s="128"/>
      <c r="D23" s="128"/>
      <c r="E23" s="323"/>
      <c r="F23" s="43"/>
      <c r="G23" s="395"/>
      <c r="H23" s="46"/>
      <c r="I23" s="46">
        <f t="shared" si="0"/>
        <v>0</v>
      </c>
      <c r="J23" s="46">
        <f t="shared" si="1"/>
        <v>0</v>
      </c>
      <c r="K23" s="46">
        <f t="shared" si="2"/>
        <v>0</v>
      </c>
      <c r="L23" s="37"/>
      <c r="M23" s="37"/>
      <c r="N23" s="37"/>
      <c r="O23" s="37"/>
      <c r="P23" s="37"/>
      <c r="Q23" s="37"/>
    </row>
    <row r="24" spans="1:17" ht="12.75" customHeight="1">
      <c r="A24" s="20"/>
      <c r="B24" s="129" t="s">
        <v>320</v>
      </c>
      <c r="C24" s="128"/>
      <c r="D24" s="128"/>
      <c r="E24" s="323"/>
      <c r="F24" s="43"/>
      <c r="G24" s="395"/>
      <c r="H24" s="46"/>
      <c r="I24" s="46">
        <f t="shared" si="0"/>
        <v>0</v>
      </c>
      <c r="J24" s="46">
        <f t="shared" si="1"/>
        <v>0</v>
      </c>
      <c r="K24" s="46">
        <f t="shared" si="2"/>
        <v>0</v>
      </c>
      <c r="L24" s="37"/>
      <c r="M24" s="37"/>
      <c r="N24" s="37"/>
      <c r="O24" s="37"/>
      <c r="P24" s="37"/>
      <c r="Q24" s="37"/>
    </row>
    <row r="25" spans="1:17" ht="12.75" customHeight="1">
      <c r="A25" s="20"/>
      <c r="B25" s="129" t="s">
        <v>321</v>
      </c>
      <c r="C25" s="128"/>
      <c r="D25" s="128"/>
      <c r="E25" s="323"/>
      <c r="F25" s="43"/>
      <c r="G25" s="395"/>
      <c r="H25" s="46"/>
      <c r="I25" s="46">
        <f t="shared" si="0"/>
        <v>0</v>
      </c>
      <c r="J25" s="46">
        <f t="shared" si="1"/>
        <v>0</v>
      </c>
      <c r="K25" s="46">
        <f t="shared" si="2"/>
        <v>0</v>
      </c>
      <c r="L25" s="37"/>
      <c r="M25" s="37"/>
      <c r="N25" s="37"/>
      <c r="O25" s="37"/>
      <c r="P25" s="37"/>
      <c r="Q25" s="37"/>
    </row>
    <row r="26" spans="1:17" ht="12.75" customHeight="1">
      <c r="A26" s="20"/>
      <c r="B26" s="129" t="s">
        <v>97</v>
      </c>
      <c r="C26" s="128"/>
      <c r="D26" s="128"/>
      <c r="E26" s="323"/>
      <c r="F26" s="43"/>
      <c r="G26" s="395"/>
      <c r="H26" s="46"/>
      <c r="I26" s="46">
        <f t="shared" si="0"/>
        <v>0</v>
      </c>
      <c r="J26" s="46">
        <f t="shared" si="1"/>
        <v>0</v>
      </c>
      <c r="K26" s="46">
        <f t="shared" si="2"/>
        <v>0</v>
      </c>
      <c r="L26" s="37"/>
      <c r="M26" s="37"/>
      <c r="N26" s="37"/>
      <c r="O26" s="37"/>
      <c r="P26" s="37"/>
      <c r="Q26" s="37"/>
    </row>
    <row r="27" spans="1:17" ht="12.75" customHeight="1">
      <c r="A27" s="20"/>
      <c r="B27" s="129" t="s">
        <v>348</v>
      </c>
      <c r="C27" s="128"/>
      <c r="D27" s="128"/>
      <c r="E27" s="323"/>
      <c r="F27" s="43"/>
      <c r="G27" s="395"/>
      <c r="H27" s="46"/>
      <c r="I27" s="46">
        <f t="shared" si="0"/>
        <v>0</v>
      </c>
      <c r="J27" s="46">
        <f t="shared" si="1"/>
        <v>0</v>
      </c>
      <c r="K27" s="46">
        <f t="shared" si="2"/>
        <v>0</v>
      </c>
      <c r="L27" s="37"/>
      <c r="M27" s="37"/>
      <c r="N27" s="37"/>
      <c r="O27" s="37"/>
      <c r="P27" s="37"/>
      <c r="Q27" s="37"/>
    </row>
    <row r="28" spans="1:17" ht="12.75" customHeight="1">
      <c r="A28" s="20"/>
      <c r="B28" s="129" t="s">
        <v>324</v>
      </c>
      <c r="C28" s="128"/>
      <c r="D28" s="128"/>
      <c r="E28" s="323"/>
      <c r="F28" s="43"/>
      <c r="G28" s="395"/>
      <c r="H28" s="46"/>
      <c r="I28" s="46">
        <f t="shared" si="0"/>
        <v>0</v>
      </c>
      <c r="J28" s="46">
        <f t="shared" si="1"/>
        <v>0</v>
      </c>
      <c r="K28" s="46">
        <f t="shared" si="2"/>
        <v>0</v>
      </c>
      <c r="L28" s="37"/>
      <c r="M28" s="37"/>
      <c r="N28" s="37"/>
      <c r="O28" s="37"/>
      <c r="P28" s="37"/>
      <c r="Q28" s="37"/>
    </row>
    <row r="29" spans="1:17" ht="12.75" customHeight="1">
      <c r="A29" s="20"/>
      <c r="B29" s="129" t="s">
        <v>322</v>
      </c>
      <c r="C29" s="128"/>
      <c r="D29" s="128"/>
      <c r="E29" s="323"/>
      <c r="F29" s="43"/>
      <c r="G29" s="395"/>
      <c r="H29" s="46"/>
      <c r="I29" s="46">
        <f t="shared" si="0"/>
        <v>0</v>
      </c>
      <c r="J29" s="46">
        <f t="shared" si="1"/>
        <v>0</v>
      </c>
      <c r="K29" s="46">
        <f t="shared" si="2"/>
        <v>0</v>
      </c>
      <c r="L29" s="37"/>
      <c r="M29" s="37"/>
      <c r="N29" s="37"/>
      <c r="O29" s="37"/>
      <c r="P29" s="37"/>
      <c r="Q29" s="37"/>
    </row>
    <row r="30" spans="1:17" ht="12.75" customHeight="1" thickBot="1">
      <c r="A30" s="20"/>
      <c r="B30" s="129" t="s">
        <v>331</v>
      </c>
      <c r="C30" s="128"/>
      <c r="D30" s="128"/>
      <c r="E30" s="323"/>
      <c r="F30" s="43"/>
      <c r="G30" s="396"/>
      <c r="H30" s="46"/>
      <c r="I30" s="59">
        <f t="shared" si="0"/>
        <v>0</v>
      </c>
      <c r="J30" s="46">
        <f t="shared" si="1"/>
        <v>0</v>
      </c>
      <c r="K30" s="46">
        <f t="shared" si="2"/>
        <v>0</v>
      </c>
      <c r="L30" s="37"/>
      <c r="M30" s="37"/>
      <c r="N30" s="37"/>
      <c r="O30" s="37"/>
      <c r="P30" s="37"/>
      <c r="Q30" s="37"/>
    </row>
    <row r="31" spans="1:17" ht="12.75" customHeight="1">
      <c r="A31" s="20" t="s">
        <v>386</v>
      </c>
      <c r="B31" s="20"/>
      <c r="C31" s="20"/>
      <c r="D31" s="20"/>
      <c r="E31" s="43"/>
      <c r="F31" s="43"/>
      <c r="G31" s="46">
        <f>SUM(G11:G30)</f>
        <v>0</v>
      </c>
      <c r="H31" s="46"/>
      <c r="I31" s="46">
        <f>SUM(I11:I30)</f>
        <v>0</v>
      </c>
      <c r="J31" s="46">
        <f>SUM(J11:J30)</f>
        <v>0</v>
      </c>
      <c r="K31" s="46">
        <f>SUM(K11:K30)</f>
        <v>0</v>
      </c>
      <c r="L31" s="37"/>
      <c r="M31" s="37"/>
      <c r="N31" s="37"/>
      <c r="O31" s="37"/>
      <c r="P31" s="37"/>
      <c r="Q31" s="37"/>
    </row>
    <row r="32" spans="1:17" ht="12.75" customHeight="1">
      <c r="A32" s="20"/>
      <c r="B32" s="20"/>
      <c r="C32" s="20"/>
      <c r="D32" s="20"/>
      <c r="E32" s="43"/>
      <c r="F32" s="43"/>
      <c r="G32" s="46"/>
      <c r="H32" s="46"/>
      <c r="I32" s="46"/>
      <c r="J32" s="46"/>
      <c r="K32" s="46"/>
      <c r="L32" s="37"/>
      <c r="M32" s="37"/>
      <c r="N32" s="37"/>
      <c r="O32" s="37"/>
      <c r="P32" s="37"/>
      <c r="Q32" s="37"/>
    </row>
    <row r="33" spans="1:17" ht="12.75" customHeight="1">
      <c r="A33" s="1" t="s">
        <v>325</v>
      </c>
      <c r="B33" s="20"/>
      <c r="C33" s="20"/>
      <c r="D33" s="20"/>
      <c r="E33" s="43"/>
      <c r="F33" s="43"/>
      <c r="G33" s="46"/>
      <c r="H33" s="46"/>
      <c r="I33" s="46"/>
      <c r="J33" s="46"/>
      <c r="K33" s="46"/>
      <c r="L33" s="37"/>
      <c r="M33" s="37"/>
      <c r="N33" s="37"/>
      <c r="O33" s="37"/>
      <c r="P33" s="37"/>
      <c r="Q33" s="37"/>
    </row>
    <row r="34" spans="1:17" ht="12.75" customHeight="1">
      <c r="A34" s="20"/>
      <c r="B34" s="20" t="s">
        <v>249</v>
      </c>
      <c r="C34" s="20"/>
      <c r="D34" s="20"/>
      <c r="E34" s="43"/>
      <c r="F34" s="43"/>
      <c r="G34" s="266">
        <f>('1. Required Start-Up Funds'!E9/'1. Required Start-Up Funds'!J9)/12+('1. Required Start-Up Funds'!E10/'1. Required Start-Up Funds'!J10)/12+('1. Required Start-Up Funds'!E11/'1. Required Start-Up Funds'!J11)/12+('1. Required Start-Up Funds'!E12/'1. Required Start-Up Funds'!J12)/12+('1. Required Start-Up Funds'!E13/'1. Required Start-Up Funds'!J13)/12+('1. Required Start-Up Funds'!E14/'1. Required Start-Up Funds'!J14)/12</f>
        <v>0</v>
      </c>
      <c r="H34" s="46"/>
      <c r="I34" s="46">
        <f>G34*12</f>
        <v>0</v>
      </c>
      <c r="J34" s="46">
        <f>I34</f>
        <v>0</v>
      </c>
      <c r="K34" s="46">
        <f>J34</f>
        <v>0</v>
      </c>
      <c r="L34" s="37"/>
      <c r="M34" s="37"/>
      <c r="N34" s="37"/>
      <c r="O34" s="37"/>
      <c r="P34" s="37"/>
      <c r="Q34" s="37"/>
    </row>
    <row r="35" spans="1:17" ht="12.75" customHeight="1">
      <c r="A35" s="20"/>
      <c r="B35" s="20" t="s">
        <v>326</v>
      </c>
      <c r="C35" s="20"/>
      <c r="D35" s="20"/>
      <c r="E35" s="43"/>
      <c r="F35" s="43"/>
      <c r="G35" s="340"/>
      <c r="H35" s="46"/>
      <c r="I35" s="46"/>
      <c r="J35" s="46"/>
      <c r="K35" s="46"/>
      <c r="L35" s="37"/>
      <c r="M35" s="37"/>
      <c r="N35" s="37"/>
      <c r="O35" s="37"/>
      <c r="P35" s="37"/>
      <c r="Q35" s="37"/>
    </row>
    <row r="36" spans="1:17" ht="12.75" customHeight="1">
      <c r="A36" s="20"/>
      <c r="B36" s="20"/>
      <c r="C36" s="20" t="s">
        <v>268</v>
      </c>
      <c r="D36" s="20"/>
      <c r="E36" s="43"/>
      <c r="F36" s="43"/>
      <c r="G36" s="266">
        <f>'20. Debt Amoritization Schedule'!S15/12</f>
        <v>0</v>
      </c>
      <c r="H36" s="46"/>
      <c r="I36" s="46">
        <f>'20. Debt Amoritization Schedule'!S15</f>
        <v>0</v>
      </c>
      <c r="J36" s="46">
        <f>'20. Debt Amoritization Schedule'!S19</f>
        <v>0</v>
      </c>
      <c r="K36" s="46">
        <f>'20. Debt Amoritization Schedule'!S23</f>
        <v>0</v>
      </c>
      <c r="L36" s="37"/>
      <c r="M36" s="37"/>
      <c r="N36" s="37"/>
      <c r="O36" s="37"/>
      <c r="P36" s="37"/>
      <c r="Q36" s="37"/>
    </row>
    <row r="37" spans="1:17" ht="12.75" customHeight="1">
      <c r="A37" s="20"/>
      <c r="B37" s="20"/>
      <c r="C37" s="20" t="str">
        <f>+'1. Required Start-Up Funds'!C46</f>
        <v>Commercial Mortgage</v>
      </c>
      <c r="D37" s="20"/>
      <c r="E37" s="43"/>
      <c r="F37" s="43"/>
      <c r="G37" s="266">
        <f>'20. Debt Amoritization Schedule'!S35/12</f>
        <v>0</v>
      </c>
      <c r="H37" s="46"/>
      <c r="I37" s="46">
        <f>'20. Debt Amoritization Schedule'!S35</f>
        <v>0</v>
      </c>
      <c r="J37" s="46">
        <f>'20. Debt Amoritization Schedule'!S39</f>
        <v>0</v>
      </c>
      <c r="K37" s="46">
        <f>'20. Debt Amoritization Schedule'!S43</f>
        <v>0</v>
      </c>
      <c r="L37" s="37"/>
      <c r="M37" s="37"/>
      <c r="N37" s="37"/>
      <c r="O37" s="37"/>
      <c r="P37" s="37"/>
      <c r="Q37" s="37"/>
    </row>
    <row r="38" spans="1:17" ht="12.75" customHeight="1">
      <c r="A38" s="20"/>
      <c r="B38" s="20"/>
      <c r="C38" s="20" t="s">
        <v>328</v>
      </c>
      <c r="D38" s="20"/>
      <c r="E38" s="43"/>
      <c r="F38" s="43"/>
      <c r="G38" s="266">
        <f>'8. Income Statement'!Q69/12</f>
        <v>0</v>
      </c>
      <c r="H38" s="46"/>
      <c r="I38" s="46">
        <f>'8. Income Statement'!Q69</f>
        <v>0</v>
      </c>
      <c r="J38" s="46">
        <f>+'12. Income Statement (2)'!Q69</f>
        <v>0</v>
      </c>
      <c r="K38" s="46">
        <f>+'15. Income Statement (3)'!Q69</f>
        <v>0</v>
      </c>
      <c r="L38" s="37"/>
      <c r="M38" s="37"/>
      <c r="N38" s="37"/>
      <c r="O38" s="37"/>
      <c r="P38" s="37"/>
      <c r="Q38" s="37"/>
    </row>
    <row r="39" spans="1:17" ht="12.75" customHeight="1">
      <c r="A39" s="20"/>
      <c r="B39" s="20"/>
      <c r="C39" s="20" t="str">
        <f>+'1. Required Start-Up Funds'!C47</f>
        <v>Credit Card Debt</v>
      </c>
      <c r="D39" s="20"/>
      <c r="E39" s="43"/>
      <c r="F39" s="43"/>
      <c r="G39" s="266">
        <f>'20. Debt Amoritization Schedule'!S55/12</f>
        <v>0</v>
      </c>
      <c r="H39" s="46"/>
      <c r="I39" s="46">
        <f>'20. Debt Amoritization Schedule'!S55</f>
        <v>0</v>
      </c>
      <c r="J39" s="46">
        <f>'20. Debt Amoritization Schedule'!$S59</f>
        <v>0</v>
      </c>
      <c r="K39" s="46">
        <f>'20. Debt Amoritization Schedule'!$S63</f>
        <v>0</v>
      </c>
      <c r="L39" s="37"/>
      <c r="M39" s="37"/>
      <c r="N39" s="37"/>
      <c r="O39" s="37"/>
      <c r="P39" s="37"/>
      <c r="Q39" s="37"/>
    </row>
    <row r="40" spans="1:17" ht="12.75" customHeight="1">
      <c r="A40" s="20"/>
      <c r="B40" s="20"/>
      <c r="C40" s="20" t="str">
        <f>+'1. Required Start-Up Funds'!C48</f>
        <v>Vehicle Loans</v>
      </c>
      <c r="D40" s="20"/>
      <c r="E40" s="43"/>
      <c r="F40" s="43"/>
      <c r="G40" s="266">
        <f>'20. Debt Amoritization Schedule'!S75/12</f>
        <v>0</v>
      </c>
      <c r="H40" s="46"/>
      <c r="I40" s="46">
        <f>'20. Debt Amoritization Schedule'!S75</f>
        <v>0</v>
      </c>
      <c r="J40" s="46">
        <f>'20. Debt Amoritization Schedule'!S79</f>
        <v>0</v>
      </c>
      <c r="K40" s="46">
        <f>'20. Debt Amoritization Schedule'!S83</f>
        <v>0</v>
      </c>
      <c r="L40" s="37"/>
      <c r="M40" s="37"/>
      <c r="N40" s="37"/>
      <c r="O40" s="37"/>
      <c r="P40" s="37"/>
      <c r="Q40" s="37"/>
    </row>
    <row r="41" spans="1:17" ht="12.75" customHeight="1">
      <c r="A41" s="20"/>
      <c r="B41" s="20"/>
      <c r="C41" s="20" t="str">
        <f>+'1. Required Start-Up Funds'!C44</f>
        <v>Other Debt</v>
      </c>
      <c r="D41" s="20"/>
      <c r="E41" s="43"/>
      <c r="F41" s="43"/>
      <c r="G41" s="341">
        <f>'20. Debt Amoritization Schedule'!S95/12</f>
        <v>0</v>
      </c>
      <c r="H41" s="46"/>
      <c r="I41" s="141">
        <f>'20. Debt Amoritization Schedule'!S95</f>
        <v>0</v>
      </c>
      <c r="J41" s="141">
        <f>'20. Debt Amoritization Schedule'!S99</f>
        <v>0</v>
      </c>
      <c r="K41" s="141">
        <f>'20. Debt Amoritization Schedule'!S103</f>
        <v>0</v>
      </c>
      <c r="L41" s="37"/>
      <c r="M41" s="37"/>
      <c r="N41" s="37"/>
      <c r="O41" s="37"/>
      <c r="P41" s="37"/>
      <c r="Q41" s="37"/>
    </row>
    <row r="42" spans="1:17" ht="12.75" customHeight="1">
      <c r="A42" s="20" t="s">
        <v>327</v>
      </c>
      <c r="B42" s="20"/>
      <c r="C42" s="20"/>
      <c r="D42" s="20"/>
      <c r="E42" s="43"/>
      <c r="F42" s="43"/>
      <c r="G42" s="54">
        <f>SUM(G34:G41)</f>
        <v>0</v>
      </c>
      <c r="H42" s="54"/>
      <c r="I42" s="54">
        <f>SUM(I34:I41)</f>
        <v>0</v>
      </c>
      <c r="J42" s="54">
        <f>SUM(J34:J41)</f>
        <v>0</v>
      </c>
      <c r="K42" s="54">
        <f>SUM(K34:K41)</f>
        <v>0</v>
      </c>
      <c r="L42" s="37"/>
      <c r="M42" s="37"/>
      <c r="N42" s="37"/>
      <c r="O42" s="37"/>
      <c r="P42" s="37"/>
      <c r="Q42" s="37"/>
    </row>
    <row r="43" spans="1:17" ht="18" customHeight="1" thickBot="1">
      <c r="A43" s="20"/>
      <c r="B43" s="20"/>
      <c r="C43" s="20"/>
      <c r="D43" s="20"/>
      <c r="E43" s="43"/>
      <c r="F43" s="43"/>
      <c r="G43" s="60"/>
      <c r="H43" s="50"/>
      <c r="I43" s="60"/>
      <c r="J43" s="60"/>
      <c r="K43" s="60"/>
      <c r="L43" s="37"/>
      <c r="M43" s="37"/>
      <c r="N43" s="37"/>
      <c r="O43" s="37"/>
      <c r="P43" s="37"/>
      <c r="Q43" s="37"/>
    </row>
    <row r="44" spans="1:17" ht="18" customHeight="1" thickBot="1">
      <c r="A44" s="20" t="s">
        <v>388</v>
      </c>
      <c r="B44" s="20"/>
      <c r="C44" s="20"/>
      <c r="D44" s="20"/>
      <c r="E44" s="43"/>
      <c r="F44" s="43"/>
      <c r="G44" s="78">
        <f>G31+G42</f>
        <v>0</v>
      </c>
      <c r="H44" s="46"/>
      <c r="I44" s="78">
        <f>I31+I42</f>
        <v>0</v>
      </c>
      <c r="J44" s="78">
        <f>J31+J42</f>
        <v>0</v>
      </c>
      <c r="K44" s="78">
        <f>K31+K42</f>
        <v>0</v>
      </c>
      <c r="L44" s="37"/>
      <c r="M44" s="37"/>
      <c r="N44" s="37"/>
      <c r="O44" s="37"/>
      <c r="P44" s="37"/>
      <c r="Q44" s="37"/>
    </row>
    <row r="45" spans="1:17" ht="12.75" customHeight="1" thickTop="1">
      <c r="A45" s="20"/>
      <c r="B45" s="20"/>
      <c r="C45" s="20"/>
      <c r="D45" s="20"/>
      <c r="E45" s="43"/>
      <c r="F45" s="43"/>
      <c r="G45" s="43"/>
      <c r="H45" s="43"/>
      <c r="I45" s="43"/>
      <c r="J45" s="43"/>
      <c r="K45" s="43"/>
      <c r="L45" s="37"/>
      <c r="M45" s="37"/>
      <c r="N45" s="37"/>
      <c r="O45" s="37"/>
      <c r="P45" s="37"/>
      <c r="Q45" s="37"/>
    </row>
    <row r="46" spans="1:17" ht="12.75" customHeight="1">
      <c r="H46" s="43"/>
      <c r="I46" s="37"/>
      <c r="J46" s="37"/>
      <c r="K46" s="37"/>
      <c r="L46" s="37"/>
      <c r="M46" s="37"/>
      <c r="N46" s="37"/>
      <c r="O46" s="37"/>
      <c r="P46" s="37"/>
      <c r="Q46" s="37"/>
    </row>
    <row r="47" spans="1:17" ht="12.75" customHeight="1">
      <c r="E47" s="37"/>
      <c r="F47" s="37"/>
      <c r="G47" s="37"/>
      <c r="H47" s="43"/>
      <c r="I47" s="37"/>
      <c r="J47" s="37"/>
      <c r="K47" s="37"/>
      <c r="L47" s="37"/>
      <c r="M47" s="37"/>
      <c r="N47" s="37"/>
      <c r="O47" s="37"/>
      <c r="P47" s="37"/>
      <c r="Q47" s="37"/>
    </row>
    <row r="48" spans="1:17" ht="12.75" customHeight="1">
      <c r="H48" s="43"/>
      <c r="I48" s="37"/>
      <c r="J48" s="37"/>
      <c r="K48" s="37"/>
      <c r="L48" s="37"/>
      <c r="M48" s="37"/>
      <c r="N48" s="37"/>
      <c r="O48" s="37"/>
      <c r="P48" s="37"/>
      <c r="Q48" s="37"/>
    </row>
    <row r="49" spans="5:17" ht="12.75" customHeight="1">
      <c r="H49" s="43"/>
      <c r="I49" s="37"/>
      <c r="J49" s="37"/>
      <c r="K49" s="37"/>
      <c r="L49" s="37"/>
      <c r="M49" s="37"/>
      <c r="N49" s="37"/>
      <c r="O49" s="37"/>
      <c r="P49" s="37"/>
      <c r="Q49" s="37"/>
    </row>
    <row r="50" spans="5:17" ht="12.75" customHeight="1">
      <c r="E50" s="37"/>
      <c r="F50" s="37"/>
      <c r="G50" s="37"/>
      <c r="H50" s="43"/>
      <c r="I50" s="37"/>
      <c r="J50" s="37"/>
      <c r="K50" s="37"/>
      <c r="L50" s="37"/>
      <c r="M50" s="37"/>
      <c r="N50" s="37"/>
      <c r="O50" s="37"/>
      <c r="P50" s="37"/>
      <c r="Q50" s="37"/>
    </row>
    <row r="51" spans="5:17" ht="12.75" customHeight="1">
      <c r="E51" s="37"/>
      <c r="F51" s="37"/>
      <c r="G51" s="37"/>
      <c r="H51" s="43"/>
      <c r="I51" s="37"/>
      <c r="J51" s="37"/>
      <c r="K51" s="37"/>
      <c r="L51" s="37"/>
      <c r="M51" s="37"/>
      <c r="N51" s="37"/>
      <c r="O51" s="37"/>
      <c r="P51" s="37"/>
      <c r="Q51" s="37"/>
    </row>
    <row r="52" spans="5:17" ht="12.75" customHeight="1">
      <c r="E52" s="37"/>
      <c r="F52" s="37"/>
      <c r="G52" s="37"/>
      <c r="H52" s="43"/>
      <c r="I52" s="37"/>
      <c r="J52" s="37"/>
      <c r="K52" s="37"/>
      <c r="L52" s="37"/>
      <c r="M52" s="37"/>
      <c r="N52" s="37"/>
      <c r="O52" s="37"/>
      <c r="P52" s="37"/>
      <c r="Q52" s="37"/>
    </row>
    <row r="53" spans="5:17" ht="12.75" customHeight="1">
      <c r="E53" s="37"/>
      <c r="F53" s="37"/>
      <c r="G53" s="37"/>
      <c r="H53" s="43"/>
      <c r="I53" s="37"/>
      <c r="J53" s="37"/>
      <c r="K53" s="37"/>
      <c r="L53" s="37"/>
      <c r="M53" s="37"/>
      <c r="N53" s="37"/>
      <c r="O53" s="37"/>
      <c r="P53" s="37"/>
      <c r="Q53" s="37"/>
    </row>
    <row r="54" spans="5:17" ht="12.75" customHeight="1"/>
    <row r="55" spans="5:17" ht="12.75" customHeight="1"/>
    <row r="56" spans="5:17" ht="12.75" customHeight="1"/>
    <row r="57" spans="5:17" ht="12.75" customHeight="1"/>
    <row r="58" spans="5:17" ht="12.75" customHeight="1"/>
    <row r="59" spans="5:17" ht="12.75" customHeight="1"/>
    <row r="60" spans="5:17" ht="12.75" customHeight="1"/>
    <row r="61" spans="5:17" ht="12.75" customHeight="1"/>
    <row r="62" spans="5:17" ht="12.75" customHeight="1"/>
    <row r="63" spans="5:17" ht="12.75" customHeight="1"/>
    <row r="64" spans="5:17" ht="12.75" customHeight="1"/>
    <row r="65" ht="12.75" customHeight="1"/>
    <row r="66" ht="12.75" customHeight="1"/>
  </sheetData>
  <phoneticPr fontId="4" type="noConversion"/>
  <pageMargins left="0.75" right="0.75" top="1" bottom="1" header="0.5" footer="0.5"/>
  <pageSetup scale="75" orientation="landscape" blackAndWhite="1" horizontalDpi="300" verticalDpi="300"/>
  <headerFooter alignWithMargins="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K51"/>
  <sheetViews>
    <sheetView workbookViewId="0">
      <selection activeCell="A4" sqref="A4"/>
    </sheetView>
  </sheetViews>
  <sheetFormatPr defaultColWidth="8.85546875" defaultRowHeight="12"/>
  <cols>
    <col min="1" max="1" width="21.42578125" customWidth="1"/>
    <col min="2" max="2" width="12.140625" style="270" customWidth="1"/>
    <col min="3" max="3" width="4.42578125" customWidth="1"/>
    <col min="4" max="4" width="21.85546875" customWidth="1"/>
    <col min="6" max="6" width="4.85546875" customWidth="1"/>
    <col min="7" max="7" width="22.28515625" customWidth="1"/>
    <col min="9" max="9" width="5" customWidth="1"/>
    <col min="10" max="10" width="20.7109375" customWidth="1"/>
  </cols>
  <sheetData>
    <row r="1" spans="1:11" s="97" customFormat="1" ht="18">
      <c r="A1" s="350" t="s">
        <v>392</v>
      </c>
      <c r="B1" s="349"/>
    </row>
    <row r="4" spans="1:11">
      <c r="A4" s="391" t="s">
        <v>419</v>
      </c>
      <c r="B4" s="367"/>
      <c r="C4" s="274"/>
      <c r="D4" s="391" t="s">
        <v>416</v>
      </c>
      <c r="E4" s="367"/>
      <c r="F4" s="274"/>
      <c r="G4" s="391" t="s">
        <v>417</v>
      </c>
      <c r="H4" s="367"/>
      <c r="I4" s="274"/>
      <c r="J4" s="391" t="s">
        <v>418</v>
      </c>
      <c r="K4" s="273"/>
    </row>
    <row r="5" spans="1:11">
      <c r="A5" s="392" t="s">
        <v>65</v>
      </c>
      <c r="B5" s="393"/>
      <c r="C5" s="274"/>
      <c r="D5" s="392" t="s">
        <v>65</v>
      </c>
      <c r="E5" s="393"/>
      <c r="F5" s="274"/>
      <c r="G5" s="392" t="s">
        <v>65</v>
      </c>
      <c r="H5" s="393"/>
      <c r="I5" s="274"/>
      <c r="J5" s="392" t="s">
        <v>65</v>
      </c>
      <c r="K5" s="393"/>
    </row>
    <row r="6" spans="1:11">
      <c r="A6" s="3" t="s">
        <v>62</v>
      </c>
      <c r="B6" s="115"/>
      <c r="C6" s="274"/>
      <c r="D6" s="3" t="s">
        <v>62</v>
      </c>
      <c r="E6" s="115"/>
      <c r="F6" s="274"/>
      <c r="G6" s="3" t="s">
        <v>62</v>
      </c>
      <c r="H6" s="115">
        <v>0</v>
      </c>
      <c r="I6" s="274"/>
      <c r="J6" s="3" t="s">
        <v>62</v>
      </c>
      <c r="K6" s="115">
        <v>0</v>
      </c>
    </row>
    <row r="7" spans="1:11">
      <c r="A7" s="3" t="s">
        <v>63</v>
      </c>
      <c r="B7" s="115">
        <v>0</v>
      </c>
      <c r="C7" s="274"/>
      <c r="D7" s="3" t="s">
        <v>63</v>
      </c>
      <c r="E7" s="115">
        <v>0</v>
      </c>
      <c r="F7" s="274"/>
      <c r="G7" s="3" t="s">
        <v>63</v>
      </c>
      <c r="H7" s="115"/>
      <c r="I7" s="274"/>
      <c r="J7" s="3" t="s">
        <v>63</v>
      </c>
      <c r="K7" s="115"/>
    </row>
    <row r="8" spans="1:11">
      <c r="A8" s="66" t="s">
        <v>64</v>
      </c>
      <c r="B8" s="113">
        <v>0</v>
      </c>
      <c r="C8" s="404"/>
      <c r="D8" s="67" t="s">
        <v>64</v>
      </c>
      <c r="E8" s="113">
        <v>0</v>
      </c>
      <c r="F8" s="404"/>
      <c r="G8" s="67" t="s">
        <v>64</v>
      </c>
      <c r="H8" s="113">
        <v>0</v>
      </c>
      <c r="I8" s="404"/>
      <c r="J8" s="67" t="s">
        <v>64</v>
      </c>
      <c r="K8" s="113">
        <v>0</v>
      </c>
    </row>
    <row r="9" spans="1:11" s="414" customFormat="1">
      <c r="A9" s="405" t="s">
        <v>350</v>
      </c>
      <c r="B9" s="113">
        <v>0</v>
      </c>
      <c r="C9" s="404"/>
      <c r="D9" s="405" t="s">
        <v>350</v>
      </c>
      <c r="E9" s="113"/>
      <c r="F9" s="404"/>
      <c r="G9" s="405" t="s">
        <v>350</v>
      </c>
      <c r="H9" s="113"/>
      <c r="I9" s="404"/>
      <c r="J9" s="405" t="s">
        <v>350</v>
      </c>
      <c r="K9" s="113"/>
    </row>
    <row r="10" spans="1:11" ht="24.75" customHeight="1" thickBot="1">
      <c r="A10" s="329" t="s">
        <v>351</v>
      </c>
      <c r="B10" s="337">
        <f>(+B8+B9)*'4a.Prod 1-6 Unit Sales Forecast'!$E9</f>
        <v>0</v>
      </c>
      <c r="C10" s="274"/>
      <c r="D10" s="329" t="s">
        <v>351</v>
      </c>
      <c r="E10" s="272">
        <f>(+E8+E9)*'4a.Prod 1-6 Unit Sales Forecast'!$E31</f>
        <v>0</v>
      </c>
      <c r="F10" s="274"/>
      <c r="G10" s="329" t="s">
        <v>351</v>
      </c>
      <c r="H10" s="272">
        <f>(+H8+H9)*'4a.Prod 1-6 Unit Sales Forecast'!$E53</f>
        <v>0</v>
      </c>
      <c r="I10" s="274"/>
      <c r="J10" s="329" t="s">
        <v>351</v>
      </c>
      <c r="K10" s="272">
        <f>(+K8+K9)*'4a.Prod 1-6 Unit Sales Forecast'!$E75</f>
        <v>0</v>
      </c>
    </row>
    <row r="11" spans="1:11">
      <c r="A11" s="38" t="s">
        <v>387</v>
      </c>
      <c r="B11" s="338">
        <f>SUM(B5:B10)-B8-B9</f>
        <v>0</v>
      </c>
      <c r="C11" s="274"/>
      <c r="D11" s="38" t="s">
        <v>387</v>
      </c>
      <c r="E11" s="342">
        <f>SUM(E5:E10)-E8-E9</f>
        <v>0</v>
      </c>
      <c r="F11" s="274"/>
      <c r="G11" s="38" t="s">
        <v>387</v>
      </c>
      <c r="H11" s="270">
        <f>SUM(H5:H10)-H8-H9</f>
        <v>0</v>
      </c>
      <c r="I11" s="274"/>
      <c r="J11" s="38" t="s">
        <v>387</v>
      </c>
      <c r="K11" s="270">
        <f>SUM(K5:K10)-K8-K9</f>
        <v>0</v>
      </c>
    </row>
    <row r="12" spans="1:11">
      <c r="C12" s="274"/>
      <c r="E12" s="270"/>
      <c r="F12" s="274"/>
      <c r="H12" s="270"/>
      <c r="I12" s="274"/>
      <c r="K12" s="270"/>
    </row>
    <row r="13" spans="1:11">
      <c r="C13" s="274"/>
      <c r="E13" s="270"/>
      <c r="F13" s="274"/>
      <c r="H13" s="270"/>
      <c r="I13" s="274"/>
      <c r="K13" s="270"/>
    </row>
    <row r="14" spans="1:11">
      <c r="A14" s="391" t="s">
        <v>415</v>
      </c>
      <c r="C14" s="274"/>
      <c r="D14" s="391" t="s">
        <v>414</v>
      </c>
      <c r="E14" s="270"/>
      <c r="F14" s="274"/>
      <c r="G14" s="391" t="s">
        <v>337</v>
      </c>
      <c r="H14" s="270"/>
      <c r="I14" s="274"/>
      <c r="J14" s="391" t="s">
        <v>338</v>
      </c>
      <c r="K14" s="270"/>
    </row>
    <row r="15" spans="1:11">
      <c r="A15" s="392" t="s">
        <v>65</v>
      </c>
      <c r="B15" s="393"/>
      <c r="C15" s="274"/>
      <c r="D15" s="392" t="s">
        <v>65</v>
      </c>
      <c r="E15" s="393"/>
      <c r="F15" s="274"/>
      <c r="G15" s="392" t="s">
        <v>65</v>
      </c>
      <c r="H15" s="393">
        <v>0</v>
      </c>
      <c r="I15" s="274"/>
      <c r="J15" s="392" t="s">
        <v>65</v>
      </c>
      <c r="K15" s="393"/>
    </row>
    <row r="16" spans="1:11">
      <c r="A16" s="3" t="s">
        <v>62</v>
      </c>
      <c r="B16" s="115"/>
      <c r="C16" s="274"/>
      <c r="D16" s="3" t="s">
        <v>62</v>
      </c>
      <c r="E16" s="115"/>
      <c r="F16" s="274"/>
      <c r="G16" s="3" t="s">
        <v>62</v>
      </c>
      <c r="H16" s="115"/>
      <c r="I16" s="274"/>
      <c r="J16" s="3" t="s">
        <v>62</v>
      </c>
      <c r="K16" s="115"/>
    </row>
    <row r="17" spans="1:11">
      <c r="A17" s="3" t="s">
        <v>63</v>
      </c>
      <c r="B17" s="115"/>
      <c r="C17" s="274"/>
      <c r="D17" s="3" t="s">
        <v>63</v>
      </c>
      <c r="E17" s="115"/>
      <c r="F17" s="274"/>
      <c r="G17" s="3" t="s">
        <v>63</v>
      </c>
      <c r="H17" s="115"/>
      <c r="I17" s="274"/>
      <c r="J17" s="3" t="s">
        <v>63</v>
      </c>
      <c r="K17" s="115"/>
    </row>
    <row r="18" spans="1:11">
      <c r="A18" s="66" t="s">
        <v>64</v>
      </c>
      <c r="B18" s="271">
        <v>0</v>
      </c>
      <c r="C18" s="274"/>
      <c r="D18" s="66" t="s">
        <v>64</v>
      </c>
      <c r="E18" s="271"/>
      <c r="F18" s="274"/>
      <c r="G18" s="66" t="s">
        <v>64</v>
      </c>
      <c r="H18" s="271"/>
      <c r="I18" s="274"/>
      <c r="J18" s="66" t="s">
        <v>64</v>
      </c>
      <c r="K18" s="271"/>
    </row>
    <row r="19" spans="1:11" s="414" customFormat="1">
      <c r="A19" s="405" t="s">
        <v>350</v>
      </c>
      <c r="B19" s="113"/>
      <c r="C19" s="404"/>
      <c r="D19" s="405" t="s">
        <v>350</v>
      </c>
      <c r="E19" s="113"/>
      <c r="F19" s="404"/>
      <c r="G19" s="405" t="s">
        <v>350</v>
      </c>
      <c r="H19" s="113">
        <v>0</v>
      </c>
      <c r="I19" s="404"/>
      <c r="J19" s="405" t="s">
        <v>350</v>
      </c>
      <c r="K19" s="113">
        <v>0</v>
      </c>
    </row>
    <row r="20" spans="1:11" ht="24.75" thickBot="1">
      <c r="A20" s="329" t="s">
        <v>351</v>
      </c>
      <c r="B20" s="272">
        <f>(+B18+B19)*'4a.Prod 1-6 Unit Sales Forecast'!$E97</f>
        <v>0</v>
      </c>
      <c r="C20" s="274"/>
      <c r="D20" s="329" t="s">
        <v>351</v>
      </c>
      <c r="E20" s="272">
        <f>(+E18+E19)*'4a.Prod 1-6 Unit Sales Forecast'!$E119</f>
        <v>0</v>
      </c>
      <c r="F20" s="274"/>
      <c r="G20" s="329" t="s">
        <v>351</v>
      </c>
      <c r="H20" s="272">
        <f>(H18+H19)*'5.Prod 7-20 Unit Sales Forecast'!$E6</f>
        <v>0</v>
      </c>
      <c r="I20" s="274"/>
      <c r="J20" s="329" t="s">
        <v>351</v>
      </c>
      <c r="K20" s="272">
        <f>(K18+K19)*'5.Prod 7-20 Unit Sales Forecast'!$E27</f>
        <v>0</v>
      </c>
    </row>
    <row r="21" spans="1:11">
      <c r="A21" s="38" t="s">
        <v>387</v>
      </c>
      <c r="B21" s="270">
        <f>SUM(B15:B20)-B18-B19</f>
        <v>0</v>
      </c>
      <c r="C21" s="274"/>
      <c r="D21" s="38" t="s">
        <v>387</v>
      </c>
      <c r="E21" s="270">
        <f>SUM(E15:E20)-E18-E19</f>
        <v>0</v>
      </c>
      <c r="F21" s="274"/>
      <c r="G21" s="38" t="s">
        <v>387</v>
      </c>
      <c r="H21" s="270">
        <f>SUM(H15:H20)-H18-H19</f>
        <v>0</v>
      </c>
      <c r="I21" s="274"/>
      <c r="J21" s="38" t="s">
        <v>387</v>
      </c>
      <c r="K21" s="270">
        <f>SUM(K15:K20)-K18-K19</f>
        <v>0</v>
      </c>
    </row>
    <row r="22" spans="1:11">
      <c r="C22" s="274"/>
      <c r="E22" s="270"/>
      <c r="F22" s="274"/>
      <c r="H22" s="270"/>
      <c r="I22" s="274"/>
      <c r="K22" s="270"/>
    </row>
    <row r="23" spans="1:11">
      <c r="C23" s="274"/>
      <c r="E23" s="270"/>
      <c r="F23" s="274"/>
      <c r="H23" s="270"/>
      <c r="I23" s="274"/>
      <c r="K23" s="270"/>
    </row>
    <row r="24" spans="1:11">
      <c r="A24" s="225" t="s">
        <v>339</v>
      </c>
      <c r="C24" s="274"/>
      <c r="D24" s="225" t="s">
        <v>340</v>
      </c>
      <c r="E24" s="270"/>
      <c r="F24" s="274"/>
      <c r="G24" s="225" t="s">
        <v>341</v>
      </c>
      <c r="H24" s="270"/>
      <c r="I24" s="274"/>
      <c r="J24" s="225" t="s">
        <v>342</v>
      </c>
      <c r="K24" s="270"/>
    </row>
    <row r="25" spans="1:11">
      <c r="A25" s="66" t="s">
        <v>65</v>
      </c>
      <c r="B25" s="115"/>
      <c r="C25" s="274"/>
      <c r="D25" s="66" t="s">
        <v>65</v>
      </c>
      <c r="E25" s="115"/>
      <c r="F25" s="274"/>
      <c r="G25" s="66" t="s">
        <v>65</v>
      </c>
      <c r="H25" s="115"/>
      <c r="I25" s="274"/>
      <c r="J25" s="66" t="s">
        <v>65</v>
      </c>
      <c r="K25" s="115"/>
    </row>
    <row r="26" spans="1:11">
      <c r="A26" s="3" t="s">
        <v>62</v>
      </c>
      <c r="B26" s="115">
        <v>0</v>
      </c>
      <c r="C26" s="274"/>
      <c r="D26" s="3" t="s">
        <v>62</v>
      </c>
      <c r="E26" s="115"/>
      <c r="F26" s="274"/>
      <c r="G26" s="3" t="s">
        <v>62</v>
      </c>
      <c r="H26" s="115"/>
      <c r="I26" s="274"/>
      <c r="J26" s="3" t="s">
        <v>62</v>
      </c>
      <c r="K26" s="115"/>
    </row>
    <row r="27" spans="1:11">
      <c r="A27" s="3" t="s">
        <v>63</v>
      </c>
      <c r="B27" s="115"/>
      <c r="C27" s="274"/>
      <c r="D27" s="3" t="s">
        <v>63</v>
      </c>
      <c r="E27" s="115"/>
      <c r="F27" s="274"/>
      <c r="G27" s="3" t="s">
        <v>63</v>
      </c>
      <c r="H27" s="115"/>
      <c r="I27" s="274"/>
      <c r="J27" s="3" t="s">
        <v>63</v>
      </c>
      <c r="K27" s="115"/>
    </row>
    <row r="28" spans="1:11">
      <c r="A28" s="66" t="s">
        <v>64</v>
      </c>
      <c r="B28" s="271"/>
      <c r="C28" s="274"/>
      <c r="D28" s="66" t="s">
        <v>64</v>
      </c>
      <c r="E28" s="271"/>
      <c r="F28" s="274"/>
      <c r="G28" s="66" t="s">
        <v>64</v>
      </c>
      <c r="H28" s="271"/>
      <c r="I28" s="274"/>
      <c r="J28" s="66" t="s">
        <v>64</v>
      </c>
      <c r="K28" s="271"/>
    </row>
    <row r="29" spans="1:11">
      <c r="A29" s="328" t="s">
        <v>350</v>
      </c>
      <c r="B29" s="113">
        <v>0</v>
      </c>
      <c r="C29" s="404"/>
      <c r="D29" s="405" t="s">
        <v>350</v>
      </c>
      <c r="E29" s="113">
        <v>0</v>
      </c>
      <c r="F29" s="404"/>
      <c r="G29" s="405" t="s">
        <v>350</v>
      </c>
      <c r="H29" s="113">
        <v>0</v>
      </c>
      <c r="I29" s="404"/>
      <c r="J29" s="405" t="s">
        <v>350</v>
      </c>
      <c r="K29" s="113">
        <v>0</v>
      </c>
    </row>
    <row r="30" spans="1:11" ht="24.75" thickBot="1">
      <c r="A30" s="329" t="s">
        <v>351</v>
      </c>
      <c r="B30" s="272">
        <f>(B28+B29)*'5.Prod 7-20 Unit Sales Forecast'!$E48</f>
        <v>0</v>
      </c>
      <c r="C30" s="274"/>
      <c r="D30" s="329" t="s">
        <v>351</v>
      </c>
      <c r="E30" s="272">
        <f>(E28+E29)*'5.Prod 7-20 Unit Sales Forecast'!$E69</f>
        <v>0</v>
      </c>
      <c r="F30" s="274"/>
      <c r="G30" s="329" t="s">
        <v>351</v>
      </c>
      <c r="H30" s="272">
        <f>(H28+H29)*'5.Prod 7-20 Unit Sales Forecast'!$E90</f>
        <v>0</v>
      </c>
      <c r="I30" s="274"/>
      <c r="J30" s="329" t="s">
        <v>351</v>
      </c>
      <c r="K30" s="272">
        <f>(K28+K29)*'5.Prod 7-20 Unit Sales Forecast'!$E111</f>
        <v>0</v>
      </c>
    </row>
    <row r="31" spans="1:11">
      <c r="A31" s="38" t="s">
        <v>387</v>
      </c>
      <c r="B31" s="270">
        <f>SUM(B25:B30)-B28-B29</f>
        <v>0</v>
      </c>
      <c r="C31" s="274"/>
      <c r="D31" s="38" t="s">
        <v>387</v>
      </c>
      <c r="E31" s="270">
        <f>SUM(E25:E30)-E28-E29</f>
        <v>0</v>
      </c>
      <c r="F31" s="274"/>
      <c r="G31" s="38" t="s">
        <v>387</v>
      </c>
      <c r="H31" s="270">
        <f>SUM(H25:H30)-H28-H29</f>
        <v>0</v>
      </c>
      <c r="I31" s="274"/>
      <c r="J31" s="38" t="s">
        <v>387</v>
      </c>
      <c r="K31" s="270">
        <f>SUM(K25:K30)-K28-K29</f>
        <v>0</v>
      </c>
    </row>
    <row r="32" spans="1:11">
      <c r="C32" s="274"/>
      <c r="E32" s="270"/>
      <c r="F32" s="274"/>
      <c r="H32" s="270"/>
      <c r="I32" s="274"/>
      <c r="K32" s="270"/>
    </row>
    <row r="33" spans="1:11">
      <c r="C33" s="274"/>
      <c r="E33" s="270"/>
      <c r="F33" s="274"/>
      <c r="H33" s="270"/>
      <c r="I33" s="274"/>
      <c r="K33" s="270"/>
    </row>
    <row r="34" spans="1:11">
      <c r="A34" s="225" t="s">
        <v>343</v>
      </c>
      <c r="C34" s="274"/>
      <c r="D34" s="225" t="s">
        <v>344</v>
      </c>
      <c r="E34" s="270"/>
      <c r="F34" s="274"/>
      <c r="G34" s="225" t="s">
        <v>67</v>
      </c>
      <c r="H34" s="270"/>
      <c r="I34" s="274"/>
      <c r="J34" s="225" t="s">
        <v>68</v>
      </c>
      <c r="K34" s="270"/>
    </row>
    <row r="35" spans="1:11">
      <c r="A35" s="66" t="s">
        <v>65</v>
      </c>
      <c r="B35" s="115">
        <v>0</v>
      </c>
      <c r="C35" s="274"/>
      <c r="D35" s="66" t="s">
        <v>65</v>
      </c>
      <c r="E35" s="115"/>
      <c r="F35" s="274"/>
      <c r="G35" s="66" t="s">
        <v>65</v>
      </c>
      <c r="H35" s="115"/>
      <c r="I35" s="274"/>
      <c r="J35" s="66" t="s">
        <v>65</v>
      </c>
      <c r="K35" s="115"/>
    </row>
    <row r="36" spans="1:11">
      <c r="A36" s="3" t="s">
        <v>62</v>
      </c>
      <c r="B36" s="115"/>
      <c r="C36" s="274"/>
      <c r="D36" s="3" t="s">
        <v>62</v>
      </c>
      <c r="E36" s="115"/>
      <c r="F36" s="274"/>
      <c r="G36" s="3" t="s">
        <v>62</v>
      </c>
      <c r="H36" s="115"/>
      <c r="I36" s="274"/>
      <c r="J36" s="3" t="s">
        <v>62</v>
      </c>
      <c r="K36" s="115"/>
    </row>
    <row r="37" spans="1:11">
      <c r="A37" s="3" t="s">
        <v>63</v>
      </c>
      <c r="B37" s="115"/>
      <c r="C37" s="274"/>
      <c r="D37" s="3" t="s">
        <v>63</v>
      </c>
      <c r="E37" s="115"/>
      <c r="F37" s="274"/>
      <c r="G37" s="3" t="s">
        <v>63</v>
      </c>
      <c r="H37" s="115"/>
      <c r="I37" s="274"/>
      <c r="J37" s="3" t="s">
        <v>63</v>
      </c>
      <c r="K37" s="115"/>
    </row>
    <row r="38" spans="1:11">
      <c r="A38" s="66" t="s">
        <v>64</v>
      </c>
      <c r="B38" s="271"/>
      <c r="C38" s="274"/>
      <c r="D38" s="66" t="s">
        <v>64</v>
      </c>
      <c r="E38" s="271"/>
      <c r="F38" s="274"/>
      <c r="G38" s="66" t="s">
        <v>64</v>
      </c>
      <c r="H38" s="271"/>
      <c r="I38" s="274"/>
      <c r="J38" s="66" t="s">
        <v>64</v>
      </c>
      <c r="K38" s="271"/>
    </row>
    <row r="39" spans="1:11">
      <c r="A39" s="328" t="s">
        <v>350</v>
      </c>
      <c r="B39" s="113">
        <v>0</v>
      </c>
      <c r="C39" s="404"/>
      <c r="D39" s="405" t="s">
        <v>350</v>
      </c>
      <c r="E39" s="113">
        <v>0</v>
      </c>
      <c r="F39" s="404"/>
      <c r="G39" s="405" t="s">
        <v>350</v>
      </c>
      <c r="H39" s="113">
        <v>0</v>
      </c>
      <c r="I39" s="404"/>
      <c r="J39" s="405" t="s">
        <v>350</v>
      </c>
      <c r="K39" s="113">
        <v>0</v>
      </c>
    </row>
    <row r="40" spans="1:11" ht="12.75" thickBot="1">
      <c r="A40" s="66" t="s">
        <v>66</v>
      </c>
      <c r="B40" s="272">
        <f>(B38+B39)*'5.Prod 7-20 Unit Sales Forecast'!$E132</f>
        <v>0</v>
      </c>
      <c r="C40" s="274"/>
      <c r="D40" s="66" t="s">
        <v>66</v>
      </c>
      <c r="E40" s="272">
        <f>(E38+E39)*'5.Prod 7-20 Unit Sales Forecast'!$E153</f>
        <v>0</v>
      </c>
      <c r="F40" s="274"/>
      <c r="G40" s="66" t="s">
        <v>66</v>
      </c>
      <c r="H40" s="272">
        <f>(H38+H39)*'5.Prod 7-20 Unit Sales Forecast'!$E174</f>
        <v>0</v>
      </c>
      <c r="I40" s="274"/>
      <c r="J40" s="66" t="s">
        <v>66</v>
      </c>
      <c r="K40" s="272">
        <f>(K38+K39)*'5.Prod 7-20 Unit Sales Forecast'!$E195</f>
        <v>0</v>
      </c>
    </row>
    <row r="41" spans="1:11">
      <c r="A41" s="38" t="s">
        <v>387</v>
      </c>
      <c r="B41" s="270">
        <f>SUM(B35:B40)-B38-B39</f>
        <v>0</v>
      </c>
      <c r="C41" s="274"/>
      <c r="D41" s="38" t="s">
        <v>387</v>
      </c>
      <c r="E41" s="270">
        <f>SUM(E35:E40)-E38-E39</f>
        <v>0</v>
      </c>
      <c r="F41" s="274"/>
      <c r="G41" s="38" t="s">
        <v>387</v>
      </c>
      <c r="H41" s="270">
        <f>SUM(H35:H40)-H38-H39</f>
        <v>0</v>
      </c>
      <c r="I41" s="274"/>
      <c r="J41" s="38" t="s">
        <v>387</v>
      </c>
      <c r="K41" s="270">
        <f>SUM(K35:K40)-K38-K39</f>
        <v>0</v>
      </c>
    </row>
    <row r="42" spans="1:11">
      <c r="C42" s="274"/>
      <c r="E42" s="270"/>
      <c r="F42" s="274"/>
      <c r="H42" s="270"/>
      <c r="I42" s="274"/>
      <c r="K42" s="270"/>
    </row>
    <row r="43" spans="1:11">
      <c r="C43" s="274"/>
      <c r="E43" s="270"/>
      <c r="F43" s="274"/>
      <c r="H43" s="270"/>
      <c r="I43" s="274"/>
      <c r="K43" s="270"/>
    </row>
    <row r="44" spans="1:11">
      <c r="A44" s="225" t="s">
        <v>69</v>
      </c>
      <c r="C44" s="274"/>
      <c r="D44" s="225" t="s">
        <v>70</v>
      </c>
      <c r="E44" s="270"/>
      <c r="F44" s="274"/>
      <c r="G44" s="225" t="s">
        <v>71</v>
      </c>
      <c r="H44" s="270"/>
      <c r="I44" s="274"/>
      <c r="J44" s="225" t="s">
        <v>72</v>
      </c>
      <c r="K44" s="270"/>
    </row>
    <row r="45" spans="1:11">
      <c r="A45" s="66" t="s">
        <v>65</v>
      </c>
      <c r="B45" s="115"/>
      <c r="C45" s="274"/>
      <c r="D45" s="66" t="s">
        <v>65</v>
      </c>
      <c r="E45" s="115"/>
      <c r="F45" s="274"/>
      <c r="G45" s="66" t="s">
        <v>65</v>
      </c>
      <c r="H45" s="115"/>
      <c r="I45" s="274"/>
      <c r="J45" s="66" t="s">
        <v>65</v>
      </c>
      <c r="K45" s="115"/>
    </row>
    <row r="46" spans="1:11">
      <c r="A46" s="3" t="s">
        <v>62</v>
      </c>
      <c r="B46" s="115"/>
      <c r="C46" s="274"/>
      <c r="D46" s="3" t="s">
        <v>62</v>
      </c>
      <c r="E46" s="115"/>
      <c r="F46" s="274"/>
      <c r="G46" s="3" t="s">
        <v>62</v>
      </c>
      <c r="H46" s="115"/>
      <c r="I46" s="274"/>
      <c r="J46" s="3" t="s">
        <v>62</v>
      </c>
      <c r="K46" s="115"/>
    </row>
    <row r="47" spans="1:11">
      <c r="A47" s="3" t="s">
        <v>63</v>
      </c>
      <c r="B47" s="115"/>
      <c r="C47" s="274"/>
      <c r="D47" s="3" t="s">
        <v>63</v>
      </c>
      <c r="E47" s="115"/>
      <c r="F47" s="274"/>
      <c r="G47" s="3" t="s">
        <v>63</v>
      </c>
      <c r="H47" s="115"/>
      <c r="I47" s="274"/>
      <c r="J47" s="3" t="s">
        <v>63</v>
      </c>
      <c r="K47" s="115"/>
    </row>
    <row r="48" spans="1:11">
      <c r="A48" s="66" t="s">
        <v>64</v>
      </c>
      <c r="B48" s="271"/>
      <c r="C48" s="274"/>
      <c r="D48" s="66" t="s">
        <v>64</v>
      </c>
      <c r="E48" s="271"/>
      <c r="F48" s="274"/>
      <c r="G48" s="66" t="s">
        <v>64</v>
      </c>
      <c r="H48" s="271"/>
      <c r="I48" s="274"/>
      <c r="J48" s="66" t="s">
        <v>64</v>
      </c>
      <c r="K48" s="271"/>
    </row>
    <row r="49" spans="1:11">
      <c r="A49" s="328" t="s">
        <v>350</v>
      </c>
      <c r="B49" s="113">
        <v>0</v>
      </c>
      <c r="C49" s="404"/>
      <c r="D49" s="405" t="s">
        <v>350</v>
      </c>
      <c r="E49" s="113">
        <v>0</v>
      </c>
      <c r="F49" s="404"/>
      <c r="G49" s="405" t="s">
        <v>350</v>
      </c>
      <c r="H49" s="113">
        <v>0</v>
      </c>
      <c r="I49" s="404"/>
      <c r="J49" s="405" t="s">
        <v>350</v>
      </c>
      <c r="K49" s="113">
        <v>0</v>
      </c>
    </row>
    <row r="50" spans="1:11" ht="24.75" thickBot="1">
      <c r="A50" s="329" t="s">
        <v>351</v>
      </c>
      <c r="B50" s="272">
        <f>(B48+B49)*'5.Prod 7-20 Unit Sales Forecast'!$E216</f>
        <v>0</v>
      </c>
      <c r="C50" s="274"/>
      <c r="D50" s="329" t="s">
        <v>351</v>
      </c>
      <c r="E50" s="272">
        <f>(E48+E49)*'5.Prod 7-20 Unit Sales Forecast'!$E237</f>
        <v>0</v>
      </c>
      <c r="F50" s="274"/>
      <c r="G50" s="329" t="s">
        <v>351</v>
      </c>
      <c r="H50" s="272">
        <f>(H48+H49)*'5.Prod 7-20 Unit Sales Forecast'!$E258</f>
        <v>0</v>
      </c>
      <c r="I50" s="274"/>
      <c r="J50" s="329" t="s">
        <v>351</v>
      </c>
      <c r="K50" s="272">
        <f>(K48+K49)*'5.Prod 7-20 Unit Sales Forecast'!$E279</f>
        <v>0</v>
      </c>
    </row>
    <row r="51" spans="1:11">
      <c r="A51" s="38" t="s">
        <v>387</v>
      </c>
      <c r="B51" s="406">
        <f>SUM(B45:B50)-B48-B49</f>
        <v>0</v>
      </c>
      <c r="C51" s="407"/>
      <c r="D51" s="408" t="s">
        <v>387</v>
      </c>
      <c r="E51" s="406">
        <f>SUM(E45:E50)-E48-E49</f>
        <v>0</v>
      </c>
      <c r="F51" s="407"/>
      <c r="G51" s="408" t="s">
        <v>387</v>
      </c>
      <c r="H51" s="406">
        <f>SUM(H45:H50)-H48-H49</f>
        <v>0</v>
      </c>
      <c r="I51" s="407"/>
      <c r="J51" s="408" t="s">
        <v>387</v>
      </c>
      <c r="K51" s="406">
        <f>SUM(K45:K50)-K48-K49</f>
        <v>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T168"/>
  <sheetViews>
    <sheetView showGridLines="0" zoomScale="97" zoomScaleNormal="97" workbookViewId="0">
      <pane ySplit="6" topLeftCell="A7" activePane="bottomLeft" state="frozen"/>
      <selection pane="bottomLeft" activeCell="F14" sqref="F14"/>
    </sheetView>
  </sheetViews>
  <sheetFormatPr defaultColWidth="8.85546875" defaultRowHeight="12" outlineLevelRow="2"/>
  <cols>
    <col min="1" max="1" width="3" customWidth="1"/>
    <col min="2" max="3" width="3" style="1" customWidth="1"/>
    <col min="4" max="4" width="25.140625" customWidth="1"/>
    <col min="5" max="5" width="15.85546875" style="3" customWidth="1"/>
    <col min="6" max="6" width="10.85546875" style="3" customWidth="1"/>
    <col min="7" max="7" width="3" style="3" customWidth="1"/>
    <col min="8" max="11" width="9.85546875" customWidth="1"/>
    <col min="12" max="12" width="9.7109375" customWidth="1"/>
    <col min="13" max="19" width="9.85546875" customWidth="1"/>
    <col min="20" max="20" width="10.7109375" customWidth="1"/>
  </cols>
  <sheetData>
    <row r="1" spans="1:20" ht="15.75">
      <c r="A1" s="5" t="str">
        <f>'1. Required Start-Up Funds'!A1</f>
        <v xml:space="preserve"> </v>
      </c>
      <c r="T1" s="12">
        <f ca="1">NOW()</f>
        <v>44645.344484374997</v>
      </c>
    </row>
    <row r="2" spans="1:20" ht="15.75">
      <c r="A2" s="5" t="s">
        <v>288</v>
      </c>
    </row>
    <row r="3" spans="1:20" ht="12.75" customHeight="1">
      <c r="A3" s="22"/>
      <c r="B3" s="23"/>
      <c r="C3" s="23"/>
      <c r="D3" s="24"/>
      <c r="E3" s="66"/>
      <c r="F3" s="66"/>
      <c r="G3" s="66"/>
      <c r="H3" s="24"/>
      <c r="I3" s="24"/>
      <c r="J3" s="24"/>
      <c r="K3" s="24"/>
      <c r="L3" s="24"/>
      <c r="M3" s="24"/>
      <c r="N3" s="24"/>
      <c r="O3" s="24"/>
      <c r="P3" s="24"/>
      <c r="Q3" s="24"/>
      <c r="R3" s="24"/>
      <c r="S3" s="24"/>
      <c r="T3" s="24"/>
    </row>
    <row r="4" spans="1:20" ht="12.75" customHeight="1">
      <c r="A4" s="24"/>
      <c r="B4" s="23"/>
      <c r="C4" s="23"/>
      <c r="D4" s="24"/>
      <c r="E4" s="66"/>
      <c r="F4" s="66"/>
      <c r="G4" s="66"/>
      <c r="H4" s="24"/>
      <c r="I4" s="24"/>
      <c r="J4" s="24"/>
      <c r="K4" s="24"/>
      <c r="L4" s="24"/>
      <c r="M4" s="24"/>
      <c r="N4" s="24"/>
      <c r="O4" s="24"/>
      <c r="P4" s="24"/>
      <c r="Q4" s="24"/>
      <c r="R4" s="24"/>
      <c r="S4" s="24"/>
      <c r="T4" s="24"/>
    </row>
    <row r="5" spans="1:20" ht="12.75" customHeight="1">
      <c r="A5" s="24"/>
      <c r="B5" s="23"/>
      <c r="C5" s="23"/>
      <c r="D5" s="24"/>
      <c r="E5" s="66"/>
      <c r="F5" s="66"/>
      <c r="G5" s="66"/>
      <c r="H5" s="24"/>
      <c r="I5" s="24"/>
      <c r="J5" s="24"/>
      <c r="K5" s="24"/>
      <c r="L5" s="24"/>
      <c r="M5" s="24"/>
      <c r="N5" s="24"/>
      <c r="O5" s="24"/>
      <c r="P5" s="24"/>
      <c r="Q5" s="24"/>
      <c r="R5" s="24"/>
      <c r="S5" s="24"/>
      <c r="T5" s="24"/>
    </row>
    <row r="6" spans="1:20" s="1" customFormat="1" ht="12.75" customHeight="1" thickBot="1">
      <c r="A6" s="62" t="s">
        <v>290</v>
      </c>
      <c r="B6" s="62"/>
      <c r="C6" s="62"/>
      <c r="D6" s="62"/>
      <c r="E6" s="63" t="s">
        <v>285</v>
      </c>
      <c r="F6" s="64" t="s">
        <v>291</v>
      </c>
      <c r="G6" s="63"/>
      <c r="H6" s="118">
        <v>1</v>
      </c>
      <c r="I6" s="118">
        <v>2</v>
      </c>
      <c r="J6" s="118">
        <v>3</v>
      </c>
      <c r="K6" s="118">
        <v>4</v>
      </c>
      <c r="L6" s="118">
        <v>5</v>
      </c>
      <c r="M6" s="118">
        <v>6</v>
      </c>
      <c r="N6" s="118">
        <v>7</v>
      </c>
      <c r="O6" s="118">
        <v>8</v>
      </c>
      <c r="P6" s="118">
        <v>9</v>
      </c>
      <c r="Q6" s="118">
        <v>10</v>
      </c>
      <c r="R6" s="118">
        <v>11</v>
      </c>
      <c r="S6" s="118">
        <v>12</v>
      </c>
      <c r="T6" s="65" t="s">
        <v>248</v>
      </c>
    </row>
    <row r="7" spans="1:20" ht="12.75" customHeight="1" thickTop="1">
      <c r="A7" s="24"/>
      <c r="B7" s="23"/>
      <c r="C7" s="23"/>
      <c r="D7" s="24"/>
      <c r="E7" s="66"/>
      <c r="F7" s="66"/>
      <c r="G7" s="66"/>
      <c r="H7" s="24"/>
      <c r="I7" s="24"/>
      <c r="J7" s="24"/>
      <c r="K7" s="24"/>
      <c r="L7" s="24"/>
      <c r="M7" s="24"/>
      <c r="N7" s="24"/>
      <c r="O7" s="24"/>
      <c r="P7" s="24"/>
      <c r="Q7" s="24"/>
      <c r="R7" s="24"/>
      <c r="S7" s="24"/>
      <c r="T7" s="24"/>
    </row>
    <row r="8" spans="1:20" ht="12.75" customHeight="1">
      <c r="A8" s="225" t="str">
        <f>+'4.Cost of Goods-Svcs Sold'!A4</f>
        <v>Product/Service 1</v>
      </c>
      <c r="B8" s="225"/>
      <c r="C8" s="225"/>
      <c r="D8" s="225"/>
      <c r="E8" s="294"/>
      <c r="F8" s="294"/>
      <c r="G8" s="294"/>
      <c r="H8" s="296"/>
      <c r="I8" s="296"/>
      <c r="J8" s="296"/>
      <c r="K8" s="296"/>
      <c r="L8" s="296"/>
      <c r="M8" s="296"/>
      <c r="N8" s="296"/>
      <c r="O8" s="296"/>
      <c r="P8" s="296"/>
      <c r="Q8" s="296"/>
      <c r="R8" s="296"/>
      <c r="S8" s="296"/>
      <c r="T8" s="296"/>
    </row>
    <row r="9" spans="1:20" ht="12.75" customHeight="1">
      <c r="A9" s="1"/>
      <c r="B9" s="1" t="s">
        <v>276</v>
      </c>
      <c r="D9" s="296"/>
      <c r="E9" s="297"/>
      <c r="F9" s="298">
        <v>1</v>
      </c>
      <c r="G9" s="298"/>
      <c r="H9" s="296"/>
      <c r="I9" s="296"/>
      <c r="J9" s="296"/>
      <c r="K9" s="296"/>
      <c r="L9" s="296"/>
      <c r="M9" s="296"/>
      <c r="N9" s="296"/>
      <c r="O9" s="296"/>
      <c r="P9" s="296"/>
      <c r="Q9" s="296"/>
      <c r="R9" s="296"/>
      <c r="S9" s="296"/>
      <c r="T9" s="296"/>
    </row>
    <row r="10" spans="1:20" ht="12.75" customHeight="1">
      <c r="A10" s="1"/>
      <c r="B10" s="1" t="s">
        <v>403</v>
      </c>
      <c r="D10" s="296"/>
      <c r="E10" s="397">
        <f>+'4.Cost of Goods-Svcs Sold'!B11</f>
        <v>0</v>
      </c>
      <c r="F10" s="299">
        <f>IF(E9&gt;0,E10/E9,0)</f>
        <v>0</v>
      </c>
      <c r="G10" s="298"/>
      <c r="H10" s="296"/>
      <c r="I10" s="296"/>
      <c r="J10" s="296"/>
      <c r="K10" s="296"/>
      <c r="L10" s="296"/>
      <c r="M10" s="296"/>
      <c r="N10" s="296"/>
      <c r="O10" s="296"/>
      <c r="P10" s="296"/>
      <c r="Q10" s="296"/>
      <c r="R10" s="296"/>
      <c r="S10" s="296"/>
      <c r="T10" s="296"/>
    </row>
    <row r="11" spans="1:20" ht="12.75" customHeight="1">
      <c r="A11" s="1"/>
      <c r="B11" s="1" t="s">
        <v>289</v>
      </c>
      <c r="D11" s="296"/>
      <c r="E11" s="300">
        <f>E9-E10</f>
        <v>0</v>
      </c>
      <c r="F11" s="298">
        <f>IF(E9&gt;0,E11/E9,0)</f>
        <v>0</v>
      </c>
      <c r="G11" s="298"/>
      <c r="H11" s="296"/>
      <c r="I11" s="296"/>
      <c r="J11" s="296"/>
      <c r="K11" s="296"/>
      <c r="L11" s="296"/>
      <c r="M11" s="296"/>
      <c r="N11" s="296"/>
      <c r="O11" s="296"/>
      <c r="P11" s="296"/>
      <c r="Q11" s="296"/>
      <c r="R11" s="296"/>
      <c r="S11" s="296"/>
      <c r="T11" s="296"/>
    </row>
    <row r="12" spans="1:20" ht="12.75" customHeight="1">
      <c r="A12" s="1"/>
      <c r="B12" s="1" t="s">
        <v>282</v>
      </c>
      <c r="D12" s="296"/>
      <c r="E12" s="294"/>
      <c r="F12" s="409"/>
      <c r="G12" s="410"/>
      <c r="H12" s="411"/>
      <c r="I12" s="411"/>
      <c r="J12" s="411"/>
      <c r="K12" s="403"/>
      <c r="L12" s="403"/>
      <c r="M12" s="403"/>
      <c r="N12" s="403"/>
      <c r="O12" s="403"/>
      <c r="P12" s="403"/>
      <c r="Q12" s="403"/>
      <c r="R12" s="403"/>
      <c r="S12" s="403"/>
      <c r="T12" s="296"/>
    </row>
    <row r="13" spans="1:20" ht="12.75" customHeight="1" thickBot="1">
      <c r="A13" s="1"/>
      <c r="C13" s="1" t="s">
        <v>287</v>
      </c>
      <c r="D13" s="296"/>
      <c r="E13" s="294"/>
      <c r="F13" s="294"/>
      <c r="G13" s="294"/>
      <c r="H13" s="309">
        <f t="shared" ref="H13:S13" si="0">IF(H14=0,0,H14/$T$14)</f>
        <v>0</v>
      </c>
      <c r="I13" s="309">
        <f t="shared" si="0"/>
        <v>0</v>
      </c>
      <c r="J13" s="309">
        <f t="shared" si="0"/>
        <v>0</v>
      </c>
      <c r="K13" s="309">
        <f t="shared" si="0"/>
        <v>0</v>
      </c>
      <c r="L13" s="309">
        <f t="shared" si="0"/>
        <v>0</v>
      </c>
      <c r="M13" s="309">
        <f t="shared" si="0"/>
        <v>0</v>
      </c>
      <c r="N13" s="309">
        <f t="shared" si="0"/>
        <v>0</v>
      </c>
      <c r="O13" s="309">
        <f t="shared" si="0"/>
        <v>0</v>
      </c>
      <c r="P13" s="309">
        <f t="shared" si="0"/>
        <v>0</v>
      </c>
      <c r="Q13" s="309">
        <f t="shared" si="0"/>
        <v>0</v>
      </c>
      <c r="R13" s="309">
        <f t="shared" si="0"/>
        <v>0</v>
      </c>
      <c r="S13" s="309">
        <f t="shared" si="0"/>
        <v>0</v>
      </c>
      <c r="T13" s="310">
        <f>SUM(H13:S13)</f>
        <v>0</v>
      </c>
    </row>
    <row r="14" spans="1:20" ht="12.75" customHeight="1">
      <c r="A14" s="1"/>
      <c r="C14" s="1" t="s">
        <v>393</v>
      </c>
      <c r="D14" s="296"/>
      <c r="E14" s="294"/>
      <c r="F14" s="392"/>
      <c r="G14" s="294"/>
      <c r="H14" s="394"/>
      <c r="I14" s="394"/>
      <c r="J14" s="394"/>
      <c r="K14" s="394"/>
      <c r="L14" s="394"/>
      <c r="M14" s="394"/>
      <c r="N14" s="394"/>
      <c r="O14" s="394"/>
      <c r="P14" s="394"/>
      <c r="Q14" s="394"/>
      <c r="R14" s="394"/>
      <c r="S14" s="394"/>
      <c r="T14" s="312">
        <f>SUM(H14:S14)</f>
        <v>0</v>
      </c>
    </row>
    <row r="15" spans="1:20" ht="12.75" customHeight="1">
      <c r="A15" s="1"/>
      <c r="C15" s="1" t="s">
        <v>404</v>
      </c>
      <c r="D15" s="296"/>
      <c r="E15" s="113"/>
      <c r="F15" s="303"/>
      <c r="G15" s="298"/>
      <c r="H15" s="313">
        <f>IF($E15=0,S14,ROUND((1+($E15/12))*S14,0))</f>
        <v>0</v>
      </c>
      <c r="I15" s="313">
        <f>IF($E15=0,H15,ROUND((1+($E15/12))*H15,0))</f>
        <v>0</v>
      </c>
      <c r="J15" s="313">
        <f t="shared" ref="J15:S15" si="1">IF($E15=0,I15,ROUND((1+($E15/12))*I15,0))</f>
        <v>0</v>
      </c>
      <c r="K15" s="313">
        <f t="shared" si="1"/>
        <v>0</v>
      </c>
      <c r="L15" s="313">
        <f t="shared" si="1"/>
        <v>0</v>
      </c>
      <c r="M15" s="313">
        <f t="shared" si="1"/>
        <v>0</v>
      </c>
      <c r="N15" s="313">
        <f t="shared" si="1"/>
        <v>0</v>
      </c>
      <c r="O15" s="313">
        <f t="shared" si="1"/>
        <v>0</v>
      </c>
      <c r="P15" s="313">
        <f t="shared" si="1"/>
        <v>0</v>
      </c>
      <c r="Q15" s="313">
        <f t="shared" si="1"/>
        <v>0</v>
      </c>
      <c r="R15" s="313">
        <f t="shared" si="1"/>
        <v>0</v>
      </c>
      <c r="S15" s="313">
        <f t="shared" si="1"/>
        <v>0</v>
      </c>
      <c r="T15" s="312">
        <f>SUM(H15:S15)</f>
        <v>0</v>
      </c>
    </row>
    <row r="16" spans="1:20" ht="12.75" customHeight="1">
      <c r="A16" s="296"/>
      <c r="C16" s="1" t="s">
        <v>405</v>
      </c>
      <c r="D16" s="296"/>
      <c r="E16" s="113"/>
      <c r="F16" s="294"/>
      <c r="G16" s="298"/>
      <c r="H16" s="313">
        <f>IF($E16=0,S15,ROUND((1+($E16/12))*S15,0))</f>
        <v>0</v>
      </c>
      <c r="I16" s="313">
        <f>IF($E16=0,H16,ROUND((1+($E16/12))*H16,0))</f>
        <v>0</v>
      </c>
      <c r="J16" s="313">
        <f t="shared" ref="J16:S16" si="2">IF($E16=0,I16,ROUND((1+($E16/12))*I16,0))</f>
        <v>0</v>
      </c>
      <c r="K16" s="313">
        <f t="shared" si="2"/>
        <v>0</v>
      </c>
      <c r="L16" s="313">
        <f t="shared" si="2"/>
        <v>0</v>
      </c>
      <c r="M16" s="313">
        <f t="shared" si="2"/>
        <v>0</v>
      </c>
      <c r="N16" s="313">
        <f t="shared" si="2"/>
        <v>0</v>
      </c>
      <c r="O16" s="313">
        <f t="shared" si="2"/>
        <v>0</v>
      </c>
      <c r="P16" s="313">
        <f t="shared" si="2"/>
        <v>0</v>
      </c>
      <c r="Q16" s="313">
        <f t="shared" si="2"/>
        <v>0</v>
      </c>
      <c r="R16" s="313">
        <f t="shared" si="2"/>
        <v>0</v>
      </c>
      <c r="S16" s="313">
        <f t="shared" si="2"/>
        <v>0</v>
      </c>
      <c r="T16" s="312">
        <f>SUM(H16:S16)</f>
        <v>0</v>
      </c>
    </row>
    <row r="17" spans="1:20" ht="12.75" customHeight="1" outlineLevel="1">
      <c r="A17" s="296"/>
      <c r="B17" s="344" t="s">
        <v>115</v>
      </c>
      <c r="D17" s="296"/>
      <c r="E17" s="302"/>
      <c r="F17" s="294"/>
      <c r="G17" s="298"/>
      <c r="H17" s="314"/>
      <c r="I17" s="314"/>
      <c r="J17" s="314"/>
      <c r="K17" s="314"/>
      <c r="L17" s="314"/>
      <c r="M17" s="314"/>
      <c r="N17" s="314"/>
      <c r="O17" s="314"/>
      <c r="P17" s="314"/>
      <c r="Q17" s="314"/>
      <c r="R17" s="314"/>
      <c r="S17" s="314"/>
      <c r="T17" s="312"/>
    </row>
    <row r="18" spans="1:20" ht="12.75" customHeight="1" outlineLevel="1">
      <c r="A18" s="296"/>
      <c r="D18" s="296"/>
      <c r="E18" s="294"/>
      <c r="F18" s="294"/>
      <c r="G18" s="294"/>
      <c r="H18" s="296"/>
      <c r="I18" s="296"/>
      <c r="J18" s="296"/>
      <c r="K18" s="296"/>
      <c r="L18" s="296"/>
      <c r="M18" s="296"/>
      <c r="N18" s="296"/>
      <c r="O18" s="296"/>
      <c r="P18" s="296"/>
      <c r="Q18" s="296"/>
      <c r="R18" s="296"/>
      <c r="S18" s="296"/>
      <c r="T18" s="296"/>
    </row>
    <row r="19" spans="1:20" ht="12.75" customHeight="1" outlineLevel="1">
      <c r="A19" s="296"/>
      <c r="B19" s="1" t="s">
        <v>286</v>
      </c>
      <c r="D19" s="296"/>
      <c r="E19" s="305">
        <f>T14*E9</f>
        <v>0</v>
      </c>
      <c r="F19" s="298"/>
      <c r="G19" s="294"/>
      <c r="H19" s="296"/>
      <c r="I19" s="296"/>
      <c r="J19" s="296"/>
      <c r="K19" s="296"/>
      <c r="L19" s="296"/>
      <c r="M19" s="296"/>
      <c r="N19" s="296"/>
      <c r="O19" s="296"/>
      <c r="P19" s="296"/>
      <c r="Q19" s="296"/>
      <c r="R19" s="296"/>
      <c r="S19" s="296"/>
      <c r="T19" s="296"/>
    </row>
    <row r="20" spans="1:20" ht="12.75" customHeight="1" outlineLevel="1">
      <c r="A20" s="296"/>
      <c r="B20" s="1" t="str">
        <f>+B10</f>
        <v>Calculated Cost of Goods Sold</v>
      </c>
      <c r="D20" s="296"/>
      <c r="E20" s="315">
        <f>E10*T14</f>
        <v>0</v>
      </c>
      <c r="F20" s="298"/>
      <c r="G20" s="294"/>
      <c r="H20" s="296"/>
      <c r="I20" s="296"/>
      <c r="J20" s="296"/>
      <c r="K20" s="296"/>
      <c r="L20" s="296"/>
      <c r="M20" s="296"/>
      <c r="N20" s="296"/>
      <c r="O20" s="296"/>
      <c r="P20" s="296"/>
      <c r="Q20" s="296"/>
      <c r="R20" s="296"/>
      <c r="S20" s="296"/>
      <c r="T20" s="296"/>
    </row>
    <row r="21" spans="1:20" ht="12.75" customHeight="1" outlineLevel="1">
      <c r="A21" s="1"/>
      <c r="B21" s="1" t="s">
        <v>278</v>
      </c>
      <c r="D21" s="296"/>
      <c r="E21" s="308">
        <f>E19-E20</f>
        <v>0</v>
      </c>
      <c r="F21" s="298"/>
      <c r="G21" s="294"/>
      <c r="H21" s="296"/>
      <c r="I21" s="296"/>
      <c r="J21" s="296"/>
      <c r="K21" s="296"/>
      <c r="L21" s="296"/>
      <c r="M21" s="296"/>
      <c r="N21" s="296"/>
      <c r="O21" s="296"/>
      <c r="P21" s="296"/>
      <c r="Q21" s="296"/>
      <c r="R21" s="296"/>
      <c r="S21" s="296"/>
      <c r="T21" s="296"/>
    </row>
    <row r="22" spans="1:20" ht="12.75" customHeight="1" outlineLevel="1">
      <c r="A22" s="1"/>
      <c r="B22" s="344" t="s">
        <v>116</v>
      </c>
      <c r="C22" s="344"/>
      <c r="D22" s="345"/>
      <c r="E22" s="308">
        <f>E17*('3. Fixed Operating Expenses'!$I$44+'2a. Salaries and Wages Summary'!$O$36)</f>
        <v>0</v>
      </c>
      <c r="F22" s="298"/>
      <c r="G22" s="298"/>
      <c r="H22" s="296"/>
      <c r="I22" s="296"/>
      <c r="J22" s="296"/>
      <c r="K22" s="296"/>
      <c r="L22" s="296"/>
      <c r="M22" s="296"/>
      <c r="N22" s="296"/>
      <c r="O22" s="296"/>
      <c r="P22" s="296"/>
      <c r="Q22" s="296"/>
      <c r="R22" s="296"/>
      <c r="S22" s="296"/>
      <c r="T22" s="296"/>
    </row>
    <row r="23" spans="1:20" ht="12.75" customHeight="1" outlineLevel="1" thickBot="1">
      <c r="A23" s="1"/>
      <c r="B23" s="1" t="s">
        <v>279</v>
      </c>
      <c r="D23" s="296"/>
      <c r="E23" s="316">
        <f>E21-E22</f>
        <v>0</v>
      </c>
      <c r="F23" s="298">
        <f>IF(E9&gt;0,E23/E19,0)</f>
        <v>0</v>
      </c>
      <c r="G23" s="298"/>
      <c r="H23" s="296"/>
      <c r="I23" s="296"/>
      <c r="J23" s="296"/>
      <c r="K23" s="296"/>
      <c r="L23" s="296"/>
      <c r="M23" s="296"/>
      <c r="N23" s="296"/>
      <c r="O23" s="296"/>
      <c r="P23" s="296"/>
      <c r="Q23" s="296"/>
      <c r="R23" s="296"/>
      <c r="S23" s="296"/>
      <c r="T23" s="296"/>
    </row>
    <row r="24" spans="1:20" ht="12.75" customHeight="1" outlineLevel="1" thickTop="1">
      <c r="A24" s="1"/>
      <c r="D24" s="296"/>
      <c r="E24" s="294"/>
      <c r="F24" s="294"/>
      <c r="G24" s="294"/>
      <c r="H24" s="296"/>
      <c r="I24" s="296"/>
      <c r="J24" s="296"/>
      <c r="K24" s="296"/>
      <c r="L24" s="296"/>
      <c r="M24" s="296"/>
      <c r="N24" s="296"/>
      <c r="O24" s="296"/>
      <c r="P24" s="296"/>
      <c r="Q24" s="296"/>
      <c r="R24" s="296"/>
      <c r="S24" s="296"/>
      <c r="T24" s="296"/>
    </row>
    <row r="25" spans="1:20" ht="12.75" customHeight="1" outlineLevel="1">
      <c r="A25" s="1"/>
      <c r="B25" s="1" t="s">
        <v>280</v>
      </c>
      <c r="D25" s="296"/>
      <c r="E25" s="307">
        <f>IF(E9&gt;0,E22/F11,0)</f>
        <v>0</v>
      </c>
      <c r="F25" s="294"/>
      <c r="G25" s="294"/>
      <c r="H25" s="317"/>
      <c r="I25" s="317"/>
      <c r="J25" s="317"/>
      <c r="K25" s="317"/>
      <c r="L25" s="317"/>
      <c r="M25" s="317"/>
      <c r="N25" s="317"/>
      <c r="O25" s="317"/>
      <c r="P25" s="317"/>
      <c r="Q25" s="317"/>
      <c r="R25" s="317"/>
      <c r="S25" s="317"/>
      <c r="T25" s="312"/>
    </row>
    <row r="26" spans="1:20" ht="12.75" customHeight="1" outlineLevel="1">
      <c r="A26" s="1"/>
      <c r="B26" s="1" t="s">
        <v>281</v>
      </c>
      <c r="D26" s="296"/>
      <c r="E26" s="308">
        <f>IF(E9&gt;0,E25/E9,0)</f>
        <v>0</v>
      </c>
      <c r="F26" s="298"/>
      <c r="G26" s="298"/>
      <c r="H26" s="317"/>
      <c r="I26" s="317"/>
      <c r="J26" s="317"/>
      <c r="K26" s="317"/>
      <c r="L26" s="317"/>
      <c r="M26" s="317"/>
      <c r="N26" s="317"/>
      <c r="O26" s="317"/>
      <c r="P26" s="317"/>
      <c r="Q26" s="317"/>
      <c r="R26" s="317"/>
      <c r="S26" s="317"/>
      <c r="T26" s="312"/>
    </row>
    <row r="27" spans="1:20" ht="12.75" customHeight="1">
      <c r="A27" s="296"/>
      <c r="D27" s="296"/>
      <c r="E27" s="294"/>
      <c r="F27" s="298"/>
      <c r="G27" s="298"/>
      <c r="H27" s="317"/>
      <c r="I27" s="317"/>
      <c r="J27" s="317"/>
      <c r="K27" s="317"/>
      <c r="L27" s="317"/>
      <c r="M27" s="317"/>
      <c r="N27" s="317"/>
      <c r="O27" s="317"/>
      <c r="P27" s="317"/>
      <c r="Q27" s="317"/>
      <c r="R27" s="317"/>
      <c r="S27" s="317"/>
      <c r="T27" s="312"/>
    </row>
    <row r="28" spans="1:20" ht="12.75" customHeight="1">
      <c r="A28" s="296"/>
      <c r="D28" s="296"/>
      <c r="E28" s="294"/>
      <c r="F28" s="298"/>
      <c r="G28" s="298"/>
      <c r="H28" s="317"/>
      <c r="I28" s="317"/>
      <c r="J28" s="317"/>
      <c r="K28" s="317"/>
      <c r="L28" s="317"/>
      <c r="M28" s="317"/>
      <c r="N28" s="317"/>
      <c r="O28" s="317"/>
      <c r="P28" s="317"/>
      <c r="Q28" s="317"/>
      <c r="R28" s="317"/>
      <c r="S28" s="317"/>
      <c r="T28" s="312"/>
    </row>
    <row r="29" spans="1:20" ht="12.75" customHeight="1">
      <c r="A29" s="296"/>
      <c r="D29" s="296"/>
      <c r="E29" s="305"/>
      <c r="F29" s="294"/>
      <c r="G29" s="294"/>
      <c r="H29" s="296"/>
      <c r="I29" s="296"/>
      <c r="J29" s="296"/>
      <c r="K29" s="296"/>
      <c r="L29" s="296"/>
      <c r="M29" s="296"/>
      <c r="N29" s="296"/>
      <c r="O29" s="296"/>
      <c r="P29" s="296"/>
      <c r="Q29" s="296"/>
      <c r="R29" s="296"/>
      <c r="S29" s="296"/>
      <c r="T29" s="296"/>
    </row>
    <row r="30" spans="1:20" ht="12.75" customHeight="1" outlineLevel="1">
      <c r="A30" s="225" t="str">
        <f>+'4.Cost of Goods-Svcs Sold'!D4</f>
        <v>Product/Service 2</v>
      </c>
      <c r="B30" s="225"/>
      <c r="C30" s="225"/>
      <c r="D30" s="225"/>
      <c r="E30" s="294"/>
      <c r="F30" s="294"/>
      <c r="G30" s="294"/>
      <c r="H30" s="296"/>
      <c r="I30" s="296"/>
      <c r="J30" s="296"/>
      <c r="K30" s="296"/>
      <c r="L30" s="296"/>
      <c r="M30" s="296"/>
      <c r="N30" s="296"/>
      <c r="O30" s="296"/>
      <c r="P30" s="296"/>
      <c r="Q30" s="296"/>
      <c r="R30" s="296"/>
      <c r="S30" s="296"/>
      <c r="T30" s="296"/>
    </row>
    <row r="31" spans="1:20" ht="12.75" customHeight="1" outlineLevel="1">
      <c r="A31" s="1"/>
      <c r="B31" s="1" t="s">
        <v>276</v>
      </c>
      <c r="D31" s="296"/>
      <c r="E31" s="297"/>
      <c r="F31" s="298">
        <v>1</v>
      </c>
      <c r="G31" s="298"/>
      <c r="H31" s="296"/>
      <c r="I31" s="296"/>
      <c r="J31" s="296"/>
      <c r="K31" s="296"/>
      <c r="L31" s="296"/>
      <c r="M31" s="296"/>
      <c r="N31" s="296"/>
      <c r="O31" s="296"/>
      <c r="P31" s="296"/>
      <c r="Q31" s="296"/>
      <c r="R31" s="296"/>
      <c r="S31" s="296"/>
      <c r="T31" s="296"/>
    </row>
    <row r="32" spans="1:20" ht="12.75" customHeight="1" outlineLevel="1">
      <c r="A32" s="1"/>
      <c r="B32" s="1" t="s">
        <v>403</v>
      </c>
      <c r="D32" s="296"/>
      <c r="E32" s="397">
        <f>+'4.Cost of Goods-Svcs Sold'!E11</f>
        <v>0</v>
      </c>
      <c r="F32" s="299">
        <f>IF(E31&gt;0,E32/E31,0)</f>
        <v>0</v>
      </c>
      <c r="G32" s="298"/>
      <c r="H32" s="296"/>
      <c r="I32" s="296"/>
      <c r="J32" s="296"/>
      <c r="K32" s="296"/>
      <c r="L32" s="296"/>
      <c r="M32" s="296"/>
      <c r="N32" s="296"/>
      <c r="O32" s="296"/>
      <c r="P32" s="296"/>
      <c r="Q32" s="296"/>
      <c r="R32" s="296"/>
      <c r="S32" s="296"/>
      <c r="T32" s="296"/>
    </row>
    <row r="33" spans="1:20" ht="12.75" customHeight="1" outlineLevel="1">
      <c r="A33" s="1"/>
      <c r="B33" s="1" t="s">
        <v>289</v>
      </c>
      <c r="D33" s="296"/>
      <c r="E33" s="300">
        <f>E31-E32</f>
        <v>0</v>
      </c>
      <c r="F33" s="298">
        <f>IF(E31&gt;0,E33/E31,0)</f>
        <v>0</v>
      </c>
      <c r="G33" s="298"/>
      <c r="H33" s="296"/>
      <c r="I33" s="296"/>
      <c r="J33" s="296"/>
      <c r="K33" s="296"/>
      <c r="L33" s="296"/>
      <c r="M33" s="296"/>
      <c r="N33" s="296"/>
      <c r="O33" s="296"/>
      <c r="P33" s="296"/>
      <c r="Q33" s="296"/>
      <c r="R33" s="296"/>
      <c r="S33" s="296"/>
      <c r="T33" s="296"/>
    </row>
    <row r="34" spans="1:20" ht="12.75" customHeight="1" outlineLevel="1">
      <c r="A34" s="1"/>
      <c r="B34" s="1" t="s">
        <v>282</v>
      </c>
      <c r="D34" s="296"/>
      <c r="E34" s="294"/>
      <c r="F34" s="294"/>
      <c r="G34" s="294"/>
      <c r="H34" s="296"/>
      <c r="I34" s="296"/>
      <c r="J34" s="296"/>
      <c r="K34" s="296"/>
      <c r="L34" s="296"/>
      <c r="M34" s="296"/>
      <c r="N34" s="296"/>
      <c r="O34" s="296"/>
      <c r="P34" s="296"/>
      <c r="Q34" s="296"/>
      <c r="R34" s="296"/>
      <c r="S34" s="296"/>
      <c r="T34" s="296"/>
    </row>
    <row r="35" spans="1:20" ht="12.75" customHeight="1" outlineLevel="1" thickBot="1">
      <c r="A35" s="1"/>
      <c r="C35" s="1" t="s">
        <v>287</v>
      </c>
      <c r="D35" s="296"/>
      <c r="E35" s="294"/>
      <c r="F35" s="294"/>
      <c r="G35" s="294"/>
      <c r="H35" s="309">
        <f>IF(H36=0,0,H36/$T$36)</f>
        <v>0</v>
      </c>
      <c r="I35" s="309">
        <f t="shared" ref="I35:R35" si="3">IF(I36=0,0,I36/$T$36)</f>
        <v>0</v>
      </c>
      <c r="J35" s="309">
        <f t="shared" si="3"/>
        <v>0</v>
      </c>
      <c r="K35" s="309">
        <f t="shared" si="3"/>
        <v>0</v>
      </c>
      <c r="L35" s="309">
        <f t="shared" si="3"/>
        <v>0</v>
      </c>
      <c r="M35" s="309">
        <f t="shared" si="3"/>
        <v>0</v>
      </c>
      <c r="N35" s="309">
        <f t="shared" si="3"/>
        <v>0</v>
      </c>
      <c r="O35" s="309">
        <f t="shared" si="3"/>
        <v>0</v>
      </c>
      <c r="P35" s="309">
        <f t="shared" si="3"/>
        <v>0</v>
      </c>
      <c r="Q35" s="309">
        <f t="shared" si="3"/>
        <v>0</v>
      </c>
      <c r="R35" s="309">
        <f t="shared" si="3"/>
        <v>0</v>
      </c>
      <c r="S35" s="309">
        <f>IF(S36=0,0,S36/$T$36)</f>
        <v>0</v>
      </c>
      <c r="T35" s="310">
        <f>SUM(H35:S35)</f>
        <v>0</v>
      </c>
    </row>
    <row r="36" spans="1:20" ht="12.75" customHeight="1" outlineLevel="1">
      <c r="A36" s="1"/>
      <c r="C36" s="1" t="str">
        <f>+$C$14</f>
        <v>Monthly Unit Sales Year 1</v>
      </c>
      <c r="D36" s="296"/>
      <c r="E36" s="294"/>
      <c r="F36" s="294"/>
      <c r="G36" s="294"/>
      <c r="H36" s="394"/>
      <c r="I36" s="394"/>
      <c r="J36" s="394"/>
      <c r="K36" s="394"/>
      <c r="L36" s="394"/>
      <c r="M36" s="394"/>
      <c r="N36" s="394"/>
      <c r="O36" s="394"/>
      <c r="P36" s="394"/>
      <c r="Q36" s="394"/>
      <c r="R36" s="394"/>
      <c r="S36" s="394"/>
      <c r="T36" s="312">
        <f>SUM(H36:S36)</f>
        <v>0</v>
      </c>
    </row>
    <row r="37" spans="1:20" ht="12.75" customHeight="1" outlineLevel="1">
      <c r="A37" s="1"/>
      <c r="C37" s="1" t="s">
        <v>404</v>
      </c>
      <c r="D37" s="296"/>
      <c r="E37" s="113"/>
      <c r="F37" s="303"/>
      <c r="G37" s="298"/>
      <c r="H37" s="313">
        <f>IF($E37=0,S36,ROUND((1+($E37/12))*S36,0))</f>
        <v>0</v>
      </c>
      <c r="I37" s="313">
        <f>IF($E37=0,H37,ROUND((1+($E37/12))*H37,0))</f>
        <v>0</v>
      </c>
      <c r="J37" s="313">
        <f t="shared" ref="J37:S37" si="4">IF($E37=0,I37,ROUND((1+($E37/12))*I37,0))</f>
        <v>0</v>
      </c>
      <c r="K37" s="313">
        <f t="shared" si="4"/>
        <v>0</v>
      </c>
      <c r="L37" s="313">
        <f t="shared" si="4"/>
        <v>0</v>
      </c>
      <c r="M37" s="313">
        <f t="shared" si="4"/>
        <v>0</v>
      </c>
      <c r="N37" s="313">
        <f t="shared" si="4"/>
        <v>0</v>
      </c>
      <c r="O37" s="313">
        <f t="shared" si="4"/>
        <v>0</v>
      </c>
      <c r="P37" s="313">
        <f t="shared" si="4"/>
        <v>0</v>
      </c>
      <c r="Q37" s="313">
        <f t="shared" si="4"/>
        <v>0</v>
      </c>
      <c r="R37" s="313">
        <f t="shared" si="4"/>
        <v>0</v>
      </c>
      <c r="S37" s="313">
        <f t="shared" si="4"/>
        <v>0</v>
      </c>
      <c r="T37" s="312">
        <f>SUM(H37:S37)</f>
        <v>0</v>
      </c>
    </row>
    <row r="38" spans="1:20" ht="12.75" customHeight="1" outlineLevel="1">
      <c r="A38" s="296"/>
      <c r="C38" s="1" t="s">
        <v>405</v>
      </c>
      <c r="D38" s="296"/>
      <c r="E38" s="113"/>
      <c r="F38" s="294"/>
      <c r="G38" s="298"/>
      <c r="H38" s="313">
        <f>IF($E38=0,S37,ROUND((1+($E38/12))*S37,0))</f>
        <v>0</v>
      </c>
      <c r="I38" s="313">
        <f>IF($E38=0,H38,ROUND((1+($E38/12))*H38,0))</f>
        <v>0</v>
      </c>
      <c r="J38" s="313">
        <f t="shared" ref="J38:S38" si="5">IF($E38=0,I38,ROUND((1+($E38/12))*I38,0))</f>
        <v>0</v>
      </c>
      <c r="K38" s="313">
        <f t="shared" si="5"/>
        <v>0</v>
      </c>
      <c r="L38" s="313">
        <f t="shared" si="5"/>
        <v>0</v>
      </c>
      <c r="M38" s="313">
        <f t="shared" si="5"/>
        <v>0</v>
      </c>
      <c r="N38" s="313">
        <f t="shared" si="5"/>
        <v>0</v>
      </c>
      <c r="O38" s="313">
        <f t="shared" si="5"/>
        <v>0</v>
      </c>
      <c r="P38" s="313">
        <f t="shared" si="5"/>
        <v>0</v>
      </c>
      <c r="Q38" s="313">
        <f t="shared" si="5"/>
        <v>0</v>
      </c>
      <c r="R38" s="313">
        <f t="shared" si="5"/>
        <v>0</v>
      </c>
      <c r="S38" s="313">
        <f t="shared" si="5"/>
        <v>0</v>
      </c>
      <c r="T38" s="312">
        <f>SUM(H38:S38)</f>
        <v>0</v>
      </c>
    </row>
    <row r="39" spans="1:20" ht="12.75" customHeight="1" outlineLevel="2">
      <c r="A39" s="296"/>
      <c r="B39" s="344" t="s">
        <v>115</v>
      </c>
      <c r="D39" s="296"/>
      <c r="E39" s="302"/>
      <c r="F39" s="294"/>
      <c r="G39" s="298"/>
      <c r="H39" s="314"/>
      <c r="I39" s="314"/>
      <c r="J39" s="314"/>
      <c r="K39" s="314"/>
      <c r="L39" s="314"/>
      <c r="M39" s="314"/>
      <c r="N39" s="314"/>
      <c r="O39" s="314"/>
      <c r="P39" s="314"/>
      <c r="Q39" s="314"/>
      <c r="R39" s="314"/>
      <c r="S39" s="314"/>
      <c r="T39" s="312"/>
    </row>
    <row r="40" spans="1:20" ht="12.75" customHeight="1" outlineLevel="2">
      <c r="A40" s="296"/>
      <c r="D40" s="296"/>
      <c r="E40" s="294"/>
      <c r="F40" s="294"/>
      <c r="G40" s="294"/>
      <c r="H40" s="296"/>
      <c r="I40" s="296"/>
      <c r="J40" s="296"/>
      <c r="K40" s="296"/>
      <c r="L40" s="296"/>
      <c r="M40" s="296"/>
      <c r="N40" s="296"/>
      <c r="O40" s="296"/>
      <c r="P40" s="296"/>
      <c r="Q40" s="296"/>
      <c r="R40" s="296"/>
      <c r="S40" s="296"/>
      <c r="T40" s="296"/>
    </row>
    <row r="41" spans="1:20" ht="12.75" customHeight="1" outlineLevel="2">
      <c r="A41" s="296"/>
      <c r="B41" s="1" t="s">
        <v>286</v>
      </c>
      <c r="D41" s="296"/>
      <c r="E41" s="305">
        <f>T36*E31</f>
        <v>0</v>
      </c>
      <c r="F41" s="298"/>
      <c r="G41" s="294"/>
      <c r="H41" s="296"/>
      <c r="I41" s="296"/>
      <c r="J41" s="296"/>
      <c r="K41" s="296"/>
      <c r="L41" s="296"/>
      <c r="M41" s="296"/>
      <c r="N41" s="296"/>
      <c r="O41" s="296"/>
      <c r="P41" s="296"/>
      <c r="Q41" s="296"/>
      <c r="R41" s="296"/>
      <c r="S41" s="296"/>
      <c r="T41" s="296"/>
    </row>
    <row r="42" spans="1:20" ht="12.75" customHeight="1" outlineLevel="2">
      <c r="A42" s="296"/>
      <c r="B42" s="1" t="str">
        <f>+B32</f>
        <v>Calculated Cost of Goods Sold</v>
      </c>
      <c r="D42" s="296"/>
      <c r="E42" s="315">
        <f>E32*T36</f>
        <v>0</v>
      </c>
      <c r="F42" s="298"/>
      <c r="G42" s="294"/>
      <c r="H42" s="296"/>
      <c r="I42" s="296"/>
      <c r="J42" s="296"/>
      <c r="K42" s="296"/>
      <c r="L42" s="296"/>
      <c r="M42" s="296"/>
      <c r="N42" s="296"/>
      <c r="O42" s="296"/>
      <c r="P42" s="296"/>
      <c r="Q42" s="296"/>
      <c r="R42" s="296"/>
      <c r="S42" s="296"/>
      <c r="T42" s="296"/>
    </row>
    <row r="43" spans="1:20" ht="12.75" customHeight="1" outlineLevel="2">
      <c r="A43" s="1"/>
      <c r="B43" s="1" t="s">
        <v>278</v>
      </c>
      <c r="D43" s="296"/>
      <c r="E43" s="308">
        <f>E41-E42</f>
        <v>0</v>
      </c>
      <c r="F43" s="298"/>
      <c r="G43" s="294"/>
      <c r="H43" s="296"/>
      <c r="I43" s="296"/>
      <c r="J43" s="296"/>
      <c r="K43" s="296"/>
      <c r="L43" s="296"/>
      <c r="M43" s="296"/>
      <c r="N43" s="296"/>
      <c r="O43" s="296"/>
      <c r="P43" s="296"/>
      <c r="Q43" s="296"/>
      <c r="R43" s="296"/>
      <c r="S43" s="296"/>
      <c r="T43" s="296"/>
    </row>
    <row r="44" spans="1:20" ht="12.75" customHeight="1" outlineLevel="2">
      <c r="A44" s="1"/>
      <c r="B44" s="344" t="s">
        <v>116</v>
      </c>
      <c r="D44" s="296"/>
      <c r="E44" s="308">
        <f>E39*('3. Fixed Operating Expenses'!$I$44+'2a. Salaries and Wages Summary'!$O$36)</f>
        <v>0</v>
      </c>
      <c r="F44" s="298"/>
      <c r="G44" s="298"/>
      <c r="H44" s="296"/>
      <c r="I44" s="296"/>
      <c r="J44" s="296"/>
      <c r="K44" s="296"/>
      <c r="L44" s="296"/>
      <c r="M44" s="296"/>
      <c r="N44" s="296"/>
      <c r="O44" s="296"/>
      <c r="P44" s="296"/>
      <c r="Q44" s="296"/>
      <c r="R44" s="296"/>
      <c r="S44" s="296"/>
      <c r="T44" s="296"/>
    </row>
    <row r="45" spans="1:20" ht="12.75" customHeight="1" outlineLevel="2" thickBot="1">
      <c r="A45" s="1"/>
      <c r="B45" s="1" t="s">
        <v>279</v>
      </c>
      <c r="D45" s="296"/>
      <c r="E45" s="316">
        <f>E43-E44</f>
        <v>0</v>
      </c>
      <c r="F45" s="298">
        <f>IF(E31&gt;0,E45/E41,0)</f>
        <v>0</v>
      </c>
      <c r="G45" s="298"/>
      <c r="H45" s="296"/>
      <c r="I45" s="296"/>
      <c r="J45" s="296"/>
      <c r="K45" s="296"/>
      <c r="L45" s="296"/>
      <c r="M45" s="296"/>
      <c r="N45" s="296"/>
      <c r="O45" s="296"/>
      <c r="P45" s="296"/>
      <c r="Q45" s="296"/>
      <c r="R45" s="296"/>
      <c r="S45" s="296"/>
      <c r="T45" s="296"/>
    </row>
    <row r="46" spans="1:20" ht="12.75" customHeight="1" outlineLevel="2" thickTop="1">
      <c r="A46" s="1"/>
      <c r="D46" s="296"/>
      <c r="E46" s="294"/>
      <c r="F46" s="294"/>
      <c r="G46" s="294"/>
      <c r="H46" s="296"/>
      <c r="I46" s="296"/>
      <c r="J46" s="296"/>
      <c r="K46" s="296"/>
      <c r="L46" s="296"/>
      <c r="M46" s="296"/>
      <c r="N46" s="296"/>
      <c r="O46" s="296"/>
      <c r="P46" s="296"/>
      <c r="Q46" s="296"/>
      <c r="R46" s="296"/>
      <c r="S46" s="296"/>
      <c r="T46" s="296"/>
    </row>
    <row r="47" spans="1:20" ht="12.75" customHeight="1" outlineLevel="2">
      <c r="A47" s="1"/>
      <c r="B47" s="1" t="s">
        <v>280</v>
      </c>
      <c r="D47" s="296"/>
      <c r="E47" s="307">
        <f>IF(E31&gt;0,E44/F33,0)</f>
        <v>0</v>
      </c>
      <c r="F47" s="294"/>
      <c r="G47" s="294"/>
      <c r="H47" s="317"/>
      <c r="I47" s="317"/>
      <c r="J47" s="317"/>
      <c r="K47" s="317"/>
      <c r="L47" s="317"/>
      <c r="M47" s="317"/>
      <c r="N47" s="317"/>
      <c r="O47" s="317"/>
      <c r="P47" s="317"/>
      <c r="Q47" s="317"/>
      <c r="R47" s="317"/>
      <c r="S47" s="317"/>
      <c r="T47" s="312"/>
    </row>
    <row r="48" spans="1:20" ht="12.75" customHeight="1" outlineLevel="2">
      <c r="A48" s="1"/>
      <c r="B48" s="1" t="s">
        <v>281</v>
      </c>
      <c r="D48" s="296"/>
      <c r="E48" s="308">
        <f>IF(E31&gt;0,E47/E31,0)</f>
        <v>0</v>
      </c>
      <c r="F48" s="298"/>
      <c r="G48" s="298"/>
      <c r="H48" s="317"/>
      <c r="I48" s="317"/>
      <c r="J48" s="317"/>
      <c r="K48" s="317"/>
      <c r="L48" s="317"/>
      <c r="M48" s="317"/>
      <c r="N48" s="317"/>
      <c r="O48" s="317"/>
      <c r="P48" s="317"/>
      <c r="Q48" s="317"/>
      <c r="R48" s="317"/>
      <c r="S48" s="317"/>
      <c r="T48" s="312"/>
    </row>
    <row r="49" spans="1:20" ht="12.75" customHeight="1">
      <c r="A49" s="20"/>
      <c r="B49" s="20"/>
      <c r="C49" s="20"/>
      <c r="D49" s="318"/>
      <c r="E49" s="319"/>
      <c r="F49" s="320"/>
      <c r="G49" s="320"/>
      <c r="H49" s="321"/>
      <c r="I49" s="321"/>
      <c r="J49" s="321"/>
      <c r="K49" s="321"/>
      <c r="L49" s="321"/>
      <c r="M49" s="321"/>
      <c r="N49" s="321"/>
      <c r="O49" s="321"/>
      <c r="P49" s="321"/>
      <c r="Q49" s="321"/>
      <c r="R49" s="321"/>
      <c r="S49" s="321"/>
      <c r="T49" s="322"/>
    </row>
    <row r="50" spans="1:20" ht="12.75" customHeight="1">
      <c r="A50" s="20"/>
      <c r="B50" s="20"/>
      <c r="C50" s="20"/>
      <c r="D50" s="318"/>
      <c r="E50" s="319"/>
      <c r="F50" s="320"/>
      <c r="G50" s="320"/>
      <c r="H50" s="321"/>
      <c r="I50" s="321"/>
      <c r="J50" s="321"/>
      <c r="K50" s="321"/>
      <c r="L50" s="321"/>
      <c r="M50" s="321"/>
      <c r="N50" s="321"/>
      <c r="O50" s="321"/>
      <c r="P50" s="321"/>
      <c r="Q50" s="321"/>
      <c r="R50" s="321"/>
      <c r="S50" s="321"/>
      <c r="T50" s="322"/>
    </row>
    <row r="51" spans="1:20" ht="12.75" customHeight="1">
      <c r="A51" s="7"/>
      <c r="B51" s="6"/>
      <c r="C51" s="6"/>
      <c r="D51" s="7"/>
      <c r="E51" s="8"/>
      <c r="F51" s="9"/>
      <c r="G51" s="9"/>
      <c r="H51" s="10"/>
      <c r="I51" s="10"/>
      <c r="J51" s="10"/>
      <c r="K51" s="10"/>
      <c r="L51" s="10"/>
      <c r="M51" s="10"/>
      <c r="N51" s="10"/>
      <c r="O51" s="10"/>
      <c r="P51" s="10"/>
      <c r="Q51" s="10"/>
      <c r="R51" s="10"/>
      <c r="S51" s="10"/>
      <c r="T51" s="11"/>
    </row>
    <row r="52" spans="1:20" ht="12.75" customHeight="1">
      <c r="A52" s="225" t="str">
        <f>+'4.Cost of Goods-Svcs Sold'!G4</f>
        <v>Product/Service 3</v>
      </c>
      <c r="B52" s="225"/>
      <c r="C52" s="225"/>
      <c r="D52" s="225"/>
      <c r="E52" s="294"/>
      <c r="F52" s="294"/>
      <c r="G52" s="294"/>
      <c r="H52" s="296"/>
      <c r="I52" s="296"/>
      <c r="J52" s="296"/>
      <c r="K52" s="296"/>
      <c r="L52" s="296"/>
      <c r="M52" s="296"/>
      <c r="N52" s="296"/>
      <c r="O52" s="296"/>
      <c r="P52" s="296"/>
      <c r="Q52" s="296"/>
      <c r="R52" s="296"/>
      <c r="S52" s="296"/>
      <c r="T52" s="296"/>
    </row>
    <row r="53" spans="1:20" ht="12.75" customHeight="1">
      <c r="A53" s="1"/>
      <c r="B53" s="1" t="s">
        <v>276</v>
      </c>
      <c r="D53" s="296"/>
      <c r="E53" s="297"/>
      <c r="F53" s="298">
        <v>1</v>
      </c>
      <c r="G53" s="298"/>
      <c r="H53" s="296"/>
      <c r="I53" s="296"/>
      <c r="J53" s="296"/>
      <c r="K53" s="296"/>
      <c r="L53" s="296"/>
      <c r="M53" s="296"/>
      <c r="N53" s="296"/>
      <c r="O53" s="296"/>
      <c r="P53" s="296"/>
      <c r="Q53" s="296"/>
      <c r="R53" s="296"/>
      <c r="S53" s="296"/>
      <c r="T53" s="296"/>
    </row>
    <row r="54" spans="1:20" ht="12.75" customHeight="1">
      <c r="A54" s="1"/>
      <c r="B54" s="1" t="s">
        <v>403</v>
      </c>
      <c r="D54" s="296"/>
      <c r="E54" s="397">
        <f>+'4.Cost of Goods-Svcs Sold'!H11</f>
        <v>0</v>
      </c>
      <c r="F54" s="299">
        <f>IF(E53&gt;0,E54/E53,0)</f>
        <v>0</v>
      </c>
      <c r="G54" s="298"/>
      <c r="H54" s="296"/>
      <c r="I54" s="296"/>
      <c r="J54" s="296"/>
      <c r="K54" s="296"/>
      <c r="L54" s="296"/>
      <c r="M54" s="296"/>
      <c r="N54" s="296"/>
      <c r="O54" s="296"/>
      <c r="P54" s="296"/>
      <c r="Q54" s="296"/>
      <c r="R54" s="296"/>
      <c r="S54" s="296"/>
      <c r="T54" s="296"/>
    </row>
    <row r="55" spans="1:20">
      <c r="A55" s="1"/>
      <c r="B55" s="1" t="s">
        <v>289</v>
      </c>
      <c r="D55" s="296"/>
      <c r="E55" s="300">
        <f>E53-E54</f>
        <v>0</v>
      </c>
      <c r="F55" s="298">
        <f>IF(E53&gt;0,E55/E53,0)</f>
        <v>0</v>
      </c>
      <c r="G55" s="298"/>
      <c r="H55" s="296"/>
      <c r="I55" s="296"/>
      <c r="J55" s="296"/>
      <c r="K55" s="296"/>
      <c r="L55" s="296"/>
      <c r="M55" s="296"/>
      <c r="N55" s="296"/>
      <c r="O55" s="296"/>
      <c r="P55" s="296"/>
      <c r="Q55" s="296"/>
      <c r="R55" s="296"/>
      <c r="S55" s="296"/>
      <c r="T55" s="296"/>
    </row>
    <row r="56" spans="1:20">
      <c r="A56" s="1"/>
      <c r="B56" s="1" t="s">
        <v>282</v>
      </c>
      <c r="D56" s="296"/>
      <c r="E56" s="294"/>
      <c r="F56" s="294"/>
      <c r="G56" s="294"/>
      <c r="H56" s="296"/>
      <c r="I56" s="296"/>
      <c r="J56" s="296"/>
      <c r="K56" s="296"/>
      <c r="L56" s="296"/>
      <c r="M56" s="296"/>
      <c r="N56" s="296"/>
      <c r="O56" s="296"/>
      <c r="P56" s="296"/>
      <c r="Q56" s="296"/>
      <c r="R56" s="296"/>
      <c r="S56" s="296"/>
      <c r="T56" s="296"/>
    </row>
    <row r="57" spans="1:20" ht="12.75" thickBot="1">
      <c r="A57" s="1"/>
      <c r="C57" s="1" t="s">
        <v>287</v>
      </c>
      <c r="D57" s="296"/>
      <c r="E57" s="294"/>
      <c r="F57" s="294"/>
      <c r="G57" s="294"/>
      <c r="H57" s="309">
        <f t="shared" ref="H57:R57" si="6">IF(H58=0,0,H58/$T$58)</f>
        <v>0</v>
      </c>
      <c r="I57" s="309">
        <f t="shared" si="6"/>
        <v>0</v>
      </c>
      <c r="J57" s="309">
        <f t="shared" si="6"/>
        <v>0</v>
      </c>
      <c r="K57" s="309">
        <f t="shared" si="6"/>
        <v>0</v>
      </c>
      <c r="L57" s="309">
        <f t="shared" si="6"/>
        <v>0</v>
      </c>
      <c r="M57" s="309">
        <f t="shared" si="6"/>
        <v>0</v>
      </c>
      <c r="N57" s="309">
        <f t="shared" si="6"/>
        <v>0</v>
      </c>
      <c r="O57" s="309">
        <f t="shared" si="6"/>
        <v>0</v>
      </c>
      <c r="P57" s="309">
        <f t="shared" si="6"/>
        <v>0</v>
      </c>
      <c r="Q57" s="309">
        <f t="shared" si="6"/>
        <v>0</v>
      </c>
      <c r="R57" s="309">
        <f t="shared" si="6"/>
        <v>0</v>
      </c>
      <c r="S57" s="309">
        <f>IF(S58=0,0,S58/$T$58)</f>
        <v>0</v>
      </c>
      <c r="T57" s="310">
        <f>SUM(H57:S57)</f>
        <v>0</v>
      </c>
    </row>
    <row r="58" spans="1:20">
      <c r="A58" s="1"/>
      <c r="C58" s="1" t="str">
        <f>+$C$14</f>
        <v>Monthly Unit Sales Year 1</v>
      </c>
      <c r="D58" s="296"/>
      <c r="E58" s="294"/>
      <c r="F58" s="294"/>
      <c r="G58" s="294"/>
      <c r="H58" s="394"/>
      <c r="I58" s="394"/>
      <c r="J58" s="394"/>
      <c r="K58" s="394"/>
      <c r="L58" s="394"/>
      <c r="M58" s="394"/>
      <c r="N58" s="394"/>
      <c r="O58" s="394"/>
      <c r="P58" s="394"/>
      <c r="Q58" s="394"/>
      <c r="R58" s="394"/>
      <c r="S58" s="394"/>
      <c r="T58" s="312">
        <f>SUM(H58:S58)</f>
        <v>0</v>
      </c>
    </row>
    <row r="59" spans="1:20">
      <c r="A59" s="1"/>
      <c r="C59" s="1" t="s">
        <v>404</v>
      </c>
      <c r="D59" s="296"/>
      <c r="E59" s="302"/>
      <c r="F59" s="303"/>
      <c r="G59" s="298"/>
      <c r="H59" s="313">
        <f>IF($E59=0,S58,ROUND((1+($E59/12))*S58,0))</f>
        <v>0</v>
      </c>
      <c r="I59" s="313">
        <f>IF($E59=0,H59,ROUND((1+($E59/12))*H59,0))</f>
        <v>0</v>
      </c>
      <c r="J59" s="313">
        <f t="shared" ref="J59:S59" si="7">IF($E59=0,I59,ROUND((1+($E59/12))*I59,0))</f>
        <v>0</v>
      </c>
      <c r="K59" s="313">
        <f t="shared" si="7"/>
        <v>0</v>
      </c>
      <c r="L59" s="313">
        <f t="shared" si="7"/>
        <v>0</v>
      </c>
      <c r="M59" s="313">
        <f t="shared" si="7"/>
        <v>0</v>
      </c>
      <c r="N59" s="313">
        <f t="shared" si="7"/>
        <v>0</v>
      </c>
      <c r="O59" s="313">
        <f t="shared" si="7"/>
        <v>0</v>
      </c>
      <c r="P59" s="313">
        <f t="shared" si="7"/>
        <v>0</v>
      </c>
      <c r="Q59" s="313">
        <f t="shared" si="7"/>
        <v>0</v>
      </c>
      <c r="R59" s="313">
        <f t="shared" si="7"/>
        <v>0</v>
      </c>
      <c r="S59" s="313">
        <f t="shared" si="7"/>
        <v>0</v>
      </c>
      <c r="T59" s="312">
        <f>SUM(H59:S59)</f>
        <v>0</v>
      </c>
    </row>
    <row r="60" spans="1:20">
      <c r="A60" s="296"/>
      <c r="C60" s="1" t="s">
        <v>405</v>
      </c>
      <c r="D60" s="296"/>
      <c r="E60" s="302"/>
      <c r="F60" s="294"/>
      <c r="G60" s="298"/>
      <c r="H60" s="313">
        <f>IF($E60=0,S59,ROUND((1+($E60/12))*S59,0))</f>
        <v>0</v>
      </c>
      <c r="I60" s="313">
        <f>IF($E60=0,H60,ROUND((1+($E60/12))*H60,0))</f>
        <v>0</v>
      </c>
      <c r="J60" s="313">
        <f t="shared" ref="J60:S60" si="8">IF($E60=0,I60,ROUND((1+($E60/12))*I60,0))</f>
        <v>0</v>
      </c>
      <c r="K60" s="313">
        <f t="shared" si="8"/>
        <v>0</v>
      </c>
      <c r="L60" s="313">
        <f t="shared" si="8"/>
        <v>0</v>
      </c>
      <c r="M60" s="313">
        <f t="shared" si="8"/>
        <v>0</v>
      </c>
      <c r="N60" s="313">
        <f t="shared" si="8"/>
        <v>0</v>
      </c>
      <c r="O60" s="313">
        <f t="shared" si="8"/>
        <v>0</v>
      </c>
      <c r="P60" s="313">
        <f t="shared" si="8"/>
        <v>0</v>
      </c>
      <c r="Q60" s="313">
        <f t="shared" si="8"/>
        <v>0</v>
      </c>
      <c r="R60" s="313">
        <f t="shared" si="8"/>
        <v>0</v>
      </c>
      <c r="S60" s="313">
        <f t="shared" si="8"/>
        <v>0</v>
      </c>
      <c r="T60" s="312">
        <f>SUM(H60:S60)</f>
        <v>0</v>
      </c>
    </row>
    <row r="61" spans="1:20">
      <c r="A61" s="296"/>
      <c r="B61" s="344" t="s">
        <v>115</v>
      </c>
      <c r="D61" s="296"/>
      <c r="E61" s="302"/>
      <c r="F61" s="294"/>
      <c r="G61" s="298"/>
      <c r="H61" s="314"/>
      <c r="I61" s="314"/>
      <c r="J61" s="314"/>
      <c r="K61" s="314"/>
      <c r="L61" s="314"/>
      <c r="M61" s="314"/>
      <c r="N61" s="314"/>
      <c r="O61" s="314"/>
      <c r="P61" s="314"/>
      <c r="Q61" s="314"/>
      <c r="R61" s="314"/>
      <c r="S61" s="314"/>
      <c r="T61" s="312"/>
    </row>
    <row r="62" spans="1:20">
      <c r="A62" s="296"/>
      <c r="D62" s="296"/>
      <c r="E62" s="294"/>
      <c r="F62" s="294"/>
      <c r="G62" s="294"/>
      <c r="H62" s="296"/>
      <c r="I62" s="296"/>
      <c r="J62" s="296"/>
      <c r="K62" s="296"/>
      <c r="L62" s="296"/>
      <c r="M62" s="296"/>
      <c r="N62" s="296"/>
      <c r="O62" s="296"/>
      <c r="P62" s="296"/>
      <c r="Q62" s="296"/>
      <c r="R62" s="296"/>
      <c r="S62" s="296"/>
      <c r="T62" s="296"/>
    </row>
    <row r="63" spans="1:20">
      <c r="A63" s="296"/>
      <c r="B63" s="1" t="s">
        <v>286</v>
      </c>
      <c r="D63" s="296"/>
      <c r="E63" s="305">
        <f>T58*E53</f>
        <v>0</v>
      </c>
      <c r="F63" s="298"/>
      <c r="G63" s="294"/>
      <c r="H63" s="296"/>
      <c r="I63" s="296"/>
      <c r="J63" s="296"/>
      <c r="K63" s="296"/>
      <c r="L63" s="296"/>
      <c r="M63" s="296"/>
      <c r="N63" s="296"/>
      <c r="O63" s="296"/>
      <c r="P63" s="296"/>
      <c r="Q63" s="296"/>
      <c r="R63" s="296"/>
      <c r="S63" s="296"/>
      <c r="T63" s="296"/>
    </row>
    <row r="64" spans="1:20">
      <c r="A64" s="296"/>
      <c r="B64" s="1" t="str">
        <f>+B54</f>
        <v>Calculated Cost of Goods Sold</v>
      </c>
      <c r="D64" s="296"/>
      <c r="E64" s="315">
        <f>E54*T58</f>
        <v>0</v>
      </c>
      <c r="F64" s="298"/>
      <c r="G64" s="294"/>
      <c r="H64" s="296"/>
      <c r="I64" s="296"/>
      <c r="J64" s="296"/>
      <c r="K64" s="296"/>
      <c r="L64" s="296"/>
      <c r="M64" s="296"/>
      <c r="N64" s="296"/>
      <c r="O64" s="296"/>
      <c r="P64" s="296"/>
      <c r="Q64" s="296"/>
      <c r="R64" s="296"/>
      <c r="S64" s="296"/>
      <c r="T64" s="296"/>
    </row>
    <row r="65" spans="1:20">
      <c r="A65" s="1"/>
      <c r="B65" s="1" t="s">
        <v>278</v>
      </c>
      <c r="D65" s="296"/>
      <c r="E65" s="308">
        <f>E63-E64</f>
        <v>0</v>
      </c>
      <c r="F65" s="298"/>
      <c r="G65" s="294"/>
      <c r="H65" s="296"/>
      <c r="I65" s="296"/>
      <c r="J65" s="296"/>
      <c r="K65" s="296"/>
      <c r="L65" s="296"/>
      <c r="M65" s="296"/>
      <c r="N65" s="296"/>
      <c r="O65" s="296"/>
      <c r="P65" s="296"/>
      <c r="Q65" s="296"/>
      <c r="R65" s="296"/>
      <c r="S65" s="296"/>
      <c r="T65" s="296"/>
    </row>
    <row r="66" spans="1:20">
      <c r="A66" s="1"/>
      <c r="B66" s="344" t="s">
        <v>116</v>
      </c>
      <c r="D66" s="296"/>
      <c r="E66" s="308">
        <f>E61*('3. Fixed Operating Expenses'!$I$44+'2a. Salaries and Wages Summary'!$O$36)</f>
        <v>0</v>
      </c>
      <c r="F66" s="298"/>
      <c r="G66" s="298"/>
      <c r="H66" s="296"/>
      <c r="I66" s="296"/>
      <c r="J66" s="296"/>
      <c r="K66" s="296"/>
      <c r="L66" s="296"/>
      <c r="M66" s="296"/>
      <c r="N66" s="296"/>
      <c r="O66" s="296"/>
      <c r="P66" s="296"/>
      <c r="Q66" s="296"/>
      <c r="R66" s="296"/>
      <c r="S66" s="296"/>
      <c r="T66" s="296"/>
    </row>
    <row r="67" spans="1:20" ht="12.75" thickBot="1">
      <c r="A67" s="1"/>
      <c r="B67" s="1" t="s">
        <v>279</v>
      </c>
      <c r="D67" s="296"/>
      <c r="E67" s="316">
        <f>E65-E66</f>
        <v>0</v>
      </c>
      <c r="F67" s="298">
        <f>IF(E53&gt;0,E67/E63,0)</f>
        <v>0</v>
      </c>
      <c r="G67" s="298"/>
      <c r="H67" s="296"/>
      <c r="I67" s="296"/>
      <c r="J67" s="296"/>
      <c r="K67" s="296"/>
      <c r="L67" s="296"/>
      <c r="M67" s="296"/>
      <c r="N67" s="296"/>
      <c r="O67" s="296"/>
      <c r="P67" s="296"/>
      <c r="Q67" s="296"/>
      <c r="R67" s="296"/>
      <c r="S67" s="296"/>
      <c r="T67" s="296"/>
    </row>
    <row r="68" spans="1:20" ht="12.75" thickTop="1">
      <c r="A68" s="1"/>
      <c r="D68" s="296"/>
      <c r="E68" s="294"/>
      <c r="F68" s="294"/>
      <c r="G68" s="294"/>
      <c r="H68" s="296"/>
      <c r="I68" s="296"/>
      <c r="J68" s="296"/>
      <c r="K68" s="296"/>
      <c r="L68" s="296"/>
      <c r="M68" s="296"/>
      <c r="N68" s="296"/>
      <c r="O68" s="296"/>
      <c r="P68" s="296"/>
      <c r="Q68" s="296"/>
      <c r="R68" s="296"/>
      <c r="S68" s="296"/>
      <c r="T68" s="296"/>
    </row>
    <row r="69" spans="1:20">
      <c r="A69" s="1"/>
      <c r="B69" s="1" t="s">
        <v>280</v>
      </c>
      <c r="D69" s="296"/>
      <c r="E69" s="307">
        <f>IF(E53&gt;0,E66/F55,0)</f>
        <v>0</v>
      </c>
      <c r="F69" s="294"/>
      <c r="G69" s="294"/>
      <c r="H69" s="317"/>
      <c r="I69" s="317"/>
      <c r="J69" s="317"/>
      <c r="K69" s="317"/>
      <c r="L69" s="317"/>
      <c r="M69" s="317"/>
      <c r="N69" s="317"/>
      <c r="O69" s="317"/>
      <c r="P69" s="317"/>
      <c r="Q69" s="317"/>
      <c r="R69" s="317"/>
      <c r="S69" s="317"/>
      <c r="T69" s="312"/>
    </row>
    <row r="70" spans="1:20">
      <c r="A70" s="1"/>
      <c r="B70" s="1" t="s">
        <v>281</v>
      </c>
      <c r="D70" s="296"/>
      <c r="E70" s="308">
        <f>IF(E53&gt;0,E69/E53,0)</f>
        <v>0</v>
      </c>
      <c r="F70" s="298"/>
      <c r="G70" s="298"/>
      <c r="H70" s="317"/>
      <c r="I70" s="317"/>
      <c r="J70" s="317"/>
      <c r="K70" s="317"/>
      <c r="L70" s="317"/>
      <c r="M70" s="317"/>
      <c r="N70" s="317"/>
      <c r="O70" s="317"/>
      <c r="P70" s="317"/>
      <c r="Q70" s="317"/>
      <c r="R70" s="317"/>
      <c r="S70" s="317"/>
      <c r="T70" s="312"/>
    </row>
    <row r="74" spans="1:20">
      <c r="A74" s="225" t="str">
        <f>+'4.Cost of Goods-Svcs Sold'!J4</f>
        <v>Product/Service 4</v>
      </c>
      <c r="B74" s="225"/>
      <c r="C74" s="225"/>
      <c r="D74" s="225"/>
      <c r="E74" s="294"/>
      <c r="F74" s="294"/>
      <c r="G74" s="294"/>
      <c r="H74" s="296"/>
      <c r="I74" s="296"/>
      <c r="J74" s="296"/>
      <c r="K74" s="296"/>
      <c r="L74" s="296"/>
      <c r="M74" s="296"/>
      <c r="N74" s="296"/>
      <c r="O74" s="296"/>
      <c r="P74" s="296"/>
      <c r="Q74" s="296"/>
      <c r="R74" s="296"/>
      <c r="S74" s="296"/>
      <c r="T74" s="296"/>
    </row>
    <row r="75" spans="1:20">
      <c r="A75" s="1"/>
      <c r="B75" s="1" t="s">
        <v>276</v>
      </c>
      <c r="D75" s="296"/>
      <c r="E75" s="297"/>
      <c r="F75" s="298">
        <v>1</v>
      </c>
      <c r="G75" s="298"/>
      <c r="H75" s="296"/>
      <c r="I75" s="296"/>
      <c r="J75" s="296"/>
      <c r="K75" s="296"/>
      <c r="L75" s="296"/>
      <c r="M75" s="296"/>
      <c r="N75" s="296"/>
      <c r="O75" s="296"/>
      <c r="P75" s="296"/>
      <c r="Q75" s="296"/>
      <c r="R75" s="296"/>
      <c r="S75" s="296"/>
      <c r="T75" s="296"/>
    </row>
    <row r="76" spans="1:20">
      <c r="A76" s="1"/>
      <c r="B76" s="1" t="s">
        <v>403</v>
      </c>
      <c r="D76" s="296"/>
      <c r="E76" s="397">
        <f>+'4.Cost of Goods-Svcs Sold'!K11</f>
        <v>0</v>
      </c>
      <c r="F76" s="299">
        <f>IF(E75&gt;0,E76/E75,0)</f>
        <v>0</v>
      </c>
      <c r="G76" s="298"/>
      <c r="H76" s="296"/>
      <c r="I76" s="296"/>
      <c r="J76" s="296"/>
      <c r="K76" s="296"/>
      <c r="L76" s="296"/>
      <c r="M76" s="296"/>
      <c r="N76" s="296"/>
      <c r="O76" s="296"/>
      <c r="P76" s="296"/>
      <c r="Q76" s="296"/>
      <c r="R76" s="296"/>
      <c r="S76" s="296"/>
      <c r="T76" s="296"/>
    </row>
    <row r="77" spans="1:20">
      <c r="A77" s="1"/>
      <c r="B77" s="1" t="s">
        <v>289</v>
      </c>
      <c r="D77" s="296"/>
      <c r="E77" s="300">
        <f>E75-E76</f>
        <v>0</v>
      </c>
      <c r="F77" s="298">
        <f>IF(E75&gt;0,E77/E75,0)</f>
        <v>0</v>
      </c>
      <c r="G77" s="298"/>
      <c r="H77" s="296"/>
      <c r="I77" s="296"/>
      <c r="J77" s="296"/>
      <c r="K77" s="296"/>
      <c r="L77" s="296"/>
      <c r="M77" s="296"/>
      <c r="N77" s="296"/>
      <c r="O77" s="296"/>
      <c r="P77" s="296"/>
      <c r="Q77" s="296"/>
      <c r="R77" s="296"/>
      <c r="S77" s="296"/>
      <c r="T77" s="296"/>
    </row>
    <row r="78" spans="1:20">
      <c r="A78" s="1"/>
      <c r="B78" s="1" t="s">
        <v>282</v>
      </c>
      <c r="D78" s="296"/>
      <c r="E78" s="294"/>
      <c r="F78" s="294"/>
      <c r="G78" s="294"/>
      <c r="H78" s="296"/>
      <c r="I78" s="296"/>
      <c r="J78" s="296"/>
      <c r="K78" s="296"/>
      <c r="L78" s="296"/>
      <c r="M78" s="296"/>
      <c r="N78" s="296"/>
      <c r="O78" s="296"/>
      <c r="P78" s="296"/>
      <c r="Q78" s="296"/>
      <c r="R78" s="296"/>
      <c r="S78" s="296"/>
      <c r="T78" s="296"/>
    </row>
    <row r="79" spans="1:20" ht="12.75" thickBot="1">
      <c r="A79" s="1"/>
      <c r="C79" s="1" t="s">
        <v>287</v>
      </c>
      <c r="D79" s="296"/>
      <c r="E79" s="294"/>
      <c r="F79" s="294"/>
      <c r="G79" s="294"/>
      <c r="H79" s="309">
        <f t="shared" ref="H79:R79" si="9">IF(H80=0,0,H80/$T$80)</f>
        <v>0</v>
      </c>
      <c r="I79" s="309">
        <f t="shared" si="9"/>
        <v>0</v>
      </c>
      <c r="J79" s="309">
        <f t="shared" si="9"/>
        <v>0</v>
      </c>
      <c r="K79" s="309">
        <f t="shared" si="9"/>
        <v>0</v>
      </c>
      <c r="L79" s="309">
        <f t="shared" si="9"/>
        <v>0</v>
      </c>
      <c r="M79" s="309">
        <f t="shared" si="9"/>
        <v>0</v>
      </c>
      <c r="N79" s="309">
        <f t="shared" si="9"/>
        <v>0</v>
      </c>
      <c r="O79" s="309">
        <f t="shared" si="9"/>
        <v>0</v>
      </c>
      <c r="P79" s="309">
        <f t="shared" si="9"/>
        <v>0</v>
      </c>
      <c r="Q79" s="309">
        <f t="shared" si="9"/>
        <v>0</v>
      </c>
      <c r="R79" s="309">
        <f t="shared" si="9"/>
        <v>0</v>
      </c>
      <c r="S79" s="309">
        <f>IF(S80=0,0,S80/$T$80)</f>
        <v>0</v>
      </c>
      <c r="T79" s="310">
        <f>SUM(H79:S79)</f>
        <v>0</v>
      </c>
    </row>
    <row r="80" spans="1:20">
      <c r="A80" s="1"/>
      <c r="C80" s="1" t="str">
        <f>+$C$14</f>
        <v>Monthly Unit Sales Year 1</v>
      </c>
      <c r="D80" s="296"/>
      <c r="E80" s="294"/>
      <c r="F80" s="294"/>
      <c r="G80" s="294"/>
      <c r="H80" s="394"/>
      <c r="I80" s="394"/>
      <c r="J80" s="394"/>
      <c r="K80" s="394"/>
      <c r="L80" s="394"/>
      <c r="M80" s="394"/>
      <c r="N80" s="394"/>
      <c r="O80" s="394"/>
      <c r="P80" s="394"/>
      <c r="Q80" s="394"/>
      <c r="R80" s="394"/>
      <c r="S80" s="394"/>
      <c r="T80" s="312">
        <f>SUM(H80:S80)</f>
        <v>0</v>
      </c>
    </row>
    <row r="81" spans="1:20">
      <c r="A81" s="1"/>
      <c r="C81" s="1" t="s">
        <v>404</v>
      </c>
      <c r="D81" s="296"/>
      <c r="E81" s="302"/>
      <c r="F81" s="303"/>
      <c r="G81" s="298"/>
      <c r="H81" s="313">
        <f>IF($E81=0,S80,ROUND((1+($E81/12))*S80,0))</f>
        <v>0</v>
      </c>
      <c r="I81" s="313">
        <f>IF($E81=0,H81,ROUND((1+($E81/12))*H81,0))</f>
        <v>0</v>
      </c>
      <c r="J81" s="313">
        <f t="shared" ref="J81:S81" si="10">IF($E81=0,I81,ROUND((1+($E81/12))*I81,0))</f>
        <v>0</v>
      </c>
      <c r="K81" s="313">
        <f t="shared" si="10"/>
        <v>0</v>
      </c>
      <c r="L81" s="313">
        <f t="shared" si="10"/>
        <v>0</v>
      </c>
      <c r="M81" s="313">
        <f t="shared" si="10"/>
        <v>0</v>
      </c>
      <c r="N81" s="313">
        <f t="shared" si="10"/>
        <v>0</v>
      </c>
      <c r="O81" s="313">
        <f t="shared" si="10"/>
        <v>0</v>
      </c>
      <c r="P81" s="313">
        <f t="shared" si="10"/>
        <v>0</v>
      </c>
      <c r="Q81" s="313">
        <f t="shared" si="10"/>
        <v>0</v>
      </c>
      <c r="R81" s="313">
        <f t="shared" si="10"/>
        <v>0</v>
      </c>
      <c r="S81" s="313">
        <f t="shared" si="10"/>
        <v>0</v>
      </c>
      <c r="T81" s="312">
        <f>SUM(H81:S81)</f>
        <v>0</v>
      </c>
    </row>
    <row r="82" spans="1:20">
      <c r="A82" s="296"/>
      <c r="C82" s="1" t="s">
        <v>405</v>
      </c>
      <c r="D82" s="296"/>
      <c r="E82" s="302"/>
      <c r="F82" s="294"/>
      <c r="G82" s="298"/>
      <c r="H82" s="313">
        <f>IF($E82=0,S81,ROUND((1+($E82/12))*S81,0))</f>
        <v>0</v>
      </c>
      <c r="I82" s="313">
        <f>IF($E82=0,H82,ROUND((1+($E82/12))*H82,0))</f>
        <v>0</v>
      </c>
      <c r="J82" s="313">
        <f t="shared" ref="J82:S82" si="11">IF($E82=0,I82,ROUND((1+($E82/12))*I82,0))</f>
        <v>0</v>
      </c>
      <c r="K82" s="313">
        <f t="shared" si="11"/>
        <v>0</v>
      </c>
      <c r="L82" s="313">
        <f t="shared" si="11"/>
        <v>0</v>
      </c>
      <c r="M82" s="313">
        <f t="shared" si="11"/>
        <v>0</v>
      </c>
      <c r="N82" s="313">
        <f t="shared" si="11"/>
        <v>0</v>
      </c>
      <c r="O82" s="313">
        <f t="shared" si="11"/>
        <v>0</v>
      </c>
      <c r="P82" s="313">
        <f t="shared" si="11"/>
        <v>0</v>
      </c>
      <c r="Q82" s="313">
        <f t="shared" si="11"/>
        <v>0</v>
      </c>
      <c r="R82" s="313">
        <f t="shared" si="11"/>
        <v>0</v>
      </c>
      <c r="S82" s="313">
        <f t="shared" si="11"/>
        <v>0</v>
      </c>
      <c r="T82" s="312">
        <f>SUM(H82:S82)</f>
        <v>0</v>
      </c>
    </row>
    <row r="83" spans="1:20">
      <c r="A83" s="296"/>
      <c r="B83" s="344" t="s">
        <v>115</v>
      </c>
      <c r="D83" s="296"/>
      <c r="E83" s="302"/>
      <c r="F83" s="294"/>
      <c r="G83" s="298"/>
      <c r="H83" s="314"/>
      <c r="I83" s="314"/>
      <c r="J83" s="314"/>
      <c r="K83" s="314"/>
      <c r="L83" s="314"/>
      <c r="M83" s="314"/>
      <c r="N83" s="314"/>
      <c r="O83" s="314"/>
      <c r="P83" s="314"/>
      <c r="Q83" s="314"/>
      <c r="R83" s="314"/>
      <c r="S83" s="314"/>
      <c r="T83" s="312"/>
    </row>
    <row r="84" spans="1:20">
      <c r="A84" s="296"/>
      <c r="D84" s="296"/>
      <c r="E84" s="294"/>
      <c r="F84" s="294"/>
      <c r="G84" s="294"/>
      <c r="H84" s="296"/>
      <c r="I84" s="296"/>
      <c r="J84" s="296"/>
      <c r="K84" s="296"/>
      <c r="L84" s="296"/>
      <c r="M84" s="296"/>
      <c r="N84" s="296"/>
      <c r="O84" s="296"/>
      <c r="P84" s="296"/>
      <c r="Q84" s="296"/>
      <c r="R84" s="296"/>
      <c r="S84" s="296"/>
      <c r="T84" s="296"/>
    </row>
    <row r="85" spans="1:20">
      <c r="A85" s="296"/>
      <c r="B85" s="1" t="s">
        <v>286</v>
      </c>
      <c r="D85" s="296"/>
      <c r="E85" s="305">
        <f>T80*E75</f>
        <v>0</v>
      </c>
      <c r="F85" s="298"/>
      <c r="G85" s="294"/>
      <c r="H85" s="296"/>
      <c r="I85" s="296"/>
      <c r="J85" s="296"/>
      <c r="K85" s="296"/>
      <c r="L85" s="296"/>
      <c r="M85" s="296"/>
      <c r="N85" s="296"/>
      <c r="O85" s="296"/>
      <c r="P85" s="296"/>
      <c r="Q85" s="296"/>
      <c r="R85" s="296"/>
      <c r="S85" s="296"/>
      <c r="T85" s="296"/>
    </row>
    <row r="86" spans="1:20">
      <c r="A86" s="296"/>
      <c r="B86" s="1" t="str">
        <f>+B76</f>
        <v>Calculated Cost of Goods Sold</v>
      </c>
      <c r="D86" s="296"/>
      <c r="E86" s="315">
        <f>E76*T80</f>
        <v>0</v>
      </c>
      <c r="F86" s="298"/>
      <c r="G86" s="294"/>
      <c r="H86" s="296"/>
      <c r="I86" s="296"/>
      <c r="J86" s="296"/>
      <c r="K86" s="296"/>
      <c r="L86" s="296"/>
      <c r="M86" s="296"/>
      <c r="N86" s="296"/>
      <c r="O86" s="296"/>
      <c r="P86" s="296"/>
      <c r="Q86" s="296"/>
      <c r="R86" s="296"/>
      <c r="S86" s="296"/>
      <c r="T86" s="296"/>
    </row>
    <row r="87" spans="1:20">
      <c r="A87" s="1"/>
      <c r="B87" s="1" t="s">
        <v>278</v>
      </c>
      <c r="D87" s="296"/>
      <c r="E87" s="308">
        <f>E85-E86</f>
        <v>0</v>
      </c>
      <c r="F87" s="298"/>
      <c r="G87" s="294"/>
      <c r="H87" s="296"/>
      <c r="I87" s="296"/>
      <c r="J87" s="296"/>
      <c r="K87" s="296"/>
      <c r="L87" s="296"/>
      <c r="M87" s="296"/>
      <c r="N87" s="296"/>
      <c r="O87" s="296"/>
      <c r="P87" s="296"/>
      <c r="Q87" s="296"/>
      <c r="R87" s="296"/>
      <c r="S87" s="296"/>
      <c r="T87" s="296"/>
    </row>
    <row r="88" spans="1:20">
      <c r="A88" s="1"/>
      <c r="B88" s="344" t="s">
        <v>116</v>
      </c>
      <c r="D88" s="296"/>
      <c r="E88" s="308">
        <f>E83*('3. Fixed Operating Expenses'!$I$44+'2a. Salaries and Wages Summary'!$O$36)</f>
        <v>0</v>
      </c>
      <c r="F88" s="298"/>
      <c r="G88" s="298"/>
      <c r="H88" s="296"/>
      <c r="I88" s="296"/>
      <c r="J88" s="296"/>
      <c r="K88" s="296"/>
      <c r="L88" s="296"/>
      <c r="M88" s="296"/>
      <c r="N88" s="296"/>
      <c r="O88" s="296"/>
      <c r="P88" s="296"/>
      <c r="Q88" s="296"/>
      <c r="R88" s="296"/>
      <c r="S88" s="296"/>
      <c r="T88" s="296"/>
    </row>
    <row r="89" spans="1:20" ht="12.75" thickBot="1">
      <c r="A89" s="1"/>
      <c r="B89" s="1" t="s">
        <v>279</v>
      </c>
      <c r="D89" s="296"/>
      <c r="E89" s="316">
        <f>E87-E88</f>
        <v>0</v>
      </c>
      <c r="F89" s="298">
        <f>IF(E75&gt;0,E89/E85,0)</f>
        <v>0</v>
      </c>
      <c r="G89" s="298"/>
      <c r="H89" s="296"/>
      <c r="I89" s="296"/>
      <c r="J89" s="296"/>
      <c r="K89" s="296"/>
      <c r="L89" s="296"/>
      <c r="M89" s="296"/>
      <c r="N89" s="296"/>
      <c r="O89" s="296"/>
      <c r="P89" s="296"/>
      <c r="Q89" s="296"/>
      <c r="R89" s="296"/>
      <c r="S89" s="296"/>
      <c r="T89" s="296"/>
    </row>
    <row r="90" spans="1:20" ht="12.75" thickTop="1">
      <c r="A90" s="1"/>
      <c r="D90" s="296"/>
      <c r="E90" s="294"/>
      <c r="F90" s="294"/>
      <c r="G90" s="294"/>
      <c r="H90" s="296"/>
      <c r="I90" s="296"/>
      <c r="J90" s="296"/>
      <c r="K90" s="296"/>
      <c r="L90" s="296"/>
      <c r="M90" s="296"/>
      <c r="N90" s="296"/>
      <c r="O90" s="296"/>
      <c r="P90" s="296"/>
      <c r="Q90" s="296"/>
      <c r="R90" s="296"/>
      <c r="S90" s="296"/>
      <c r="T90" s="296"/>
    </row>
    <row r="91" spans="1:20">
      <c r="A91" s="1"/>
      <c r="B91" s="1" t="s">
        <v>280</v>
      </c>
      <c r="D91" s="296"/>
      <c r="E91" s="307">
        <f>IF(E75&gt;0,E88/F77,0)</f>
        <v>0</v>
      </c>
      <c r="F91" s="294"/>
      <c r="G91" s="294"/>
      <c r="H91" s="317"/>
      <c r="I91" s="317"/>
      <c r="J91" s="317"/>
      <c r="K91" s="317"/>
      <c r="L91" s="317"/>
      <c r="M91" s="317"/>
      <c r="N91" s="317"/>
      <c r="O91" s="317"/>
      <c r="P91" s="317"/>
      <c r="Q91" s="317"/>
      <c r="R91" s="317"/>
      <c r="S91" s="317"/>
      <c r="T91" s="312"/>
    </row>
    <row r="92" spans="1:20">
      <c r="A92" s="1"/>
      <c r="B92" s="1" t="s">
        <v>281</v>
      </c>
      <c r="D92" s="296"/>
      <c r="E92" s="308">
        <f>IF(E75&gt;0,E91/E75,0)</f>
        <v>0</v>
      </c>
      <c r="F92" s="298"/>
      <c r="G92" s="298"/>
      <c r="H92" s="317"/>
      <c r="I92" s="317"/>
      <c r="J92" s="317"/>
      <c r="K92" s="317"/>
      <c r="L92" s="317"/>
      <c r="M92" s="317"/>
      <c r="N92" s="317"/>
      <c r="O92" s="317"/>
      <c r="P92" s="317"/>
      <c r="Q92" s="317"/>
      <c r="R92" s="317"/>
      <c r="S92" s="317"/>
      <c r="T92" s="312"/>
    </row>
    <row r="96" spans="1:20">
      <c r="A96" s="225" t="str">
        <f>+'4.Cost of Goods-Svcs Sold'!A14</f>
        <v>Product/Service 5</v>
      </c>
      <c r="B96" s="225"/>
      <c r="C96" s="225"/>
      <c r="D96" s="225"/>
      <c r="E96" s="294"/>
      <c r="F96" s="294"/>
      <c r="G96" s="294"/>
      <c r="H96" s="296"/>
      <c r="I96" s="296"/>
      <c r="J96" s="296"/>
      <c r="K96" s="296"/>
      <c r="L96" s="296"/>
      <c r="M96" s="296"/>
      <c r="N96" s="296"/>
      <c r="O96" s="296"/>
      <c r="P96" s="296"/>
      <c r="Q96" s="296"/>
      <c r="R96" s="296"/>
      <c r="S96" s="296"/>
      <c r="T96" s="296"/>
    </row>
    <row r="97" spans="1:20">
      <c r="A97" s="1"/>
      <c r="B97" s="1" t="s">
        <v>276</v>
      </c>
      <c r="D97" s="296"/>
      <c r="E97" s="297"/>
      <c r="F97" s="298">
        <v>1</v>
      </c>
      <c r="G97" s="298"/>
      <c r="H97" s="296"/>
      <c r="I97" s="296"/>
      <c r="J97" s="296"/>
      <c r="K97" s="296"/>
      <c r="L97" s="296"/>
      <c r="M97" s="296"/>
      <c r="N97" s="296"/>
      <c r="O97" s="296"/>
      <c r="P97" s="296"/>
      <c r="Q97" s="296"/>
      <c r="R97" s="296"/>
      <c r="S97" s="296"/>
      <c r="T97" s="296"/>
    </row>
    <row r="98" spans="1:20">
      <c r="A98" s="1"/>
      <c r="B98" s="1" t="s">
        <v>403</v>
      </c>
      <c r="D98" s="296"/>
      <c r="E98" s="397">
        <f>+'4.Cost of Goods-Svcs Sold'!B21</f>
        <v>0</v>
      </c>
      <c r="F98" s="299">
        <f>IF(E97&gt;0,E98/E97,0)</f>
        <v>0</v>
      </c>
      <c r="G98" s="298"/>
      <c r="H98" s="296"/>
      <c r="I98" s="296"/>
      <c r="J98" s="296"/>
      <c r="K98" s="296"/>
      <c r="L98" s="296"/>
      <c r="M98" s="296"/>
      <c r="N98" s="296"/>
      <c r="O98" s="296"/>
      <c r="P98" s="296"/>
      <c r="Q98" s="296"/>
      <c r="R98" s="296"/>
      <c r="S98" s="296"/>
      <c r="T98" s="296"/>
    </row>
    <row r="99" spans="1:20">
      <c r="A99" s="1"/>
      <c r="B99" s="1" t="s">
        <v>289</v>
      </c>
      <c r="D99" s="296"/>
      <c r="E99" s="300">
        <f>E97-E98</f>
        <v>0</v>
      </c>
      <c r="F99" s="298">
        <f>IF(E97&gt;0,E99/E97,0)</f>
        <v>0</v>
      </c>
      <c r="G99" s="298"/>
      <c r="H99" s="296"/>
      <c r="I99" s="296"/>
      <c r="J99" s="296"/>
      <c r="K99" s="296"/>
      <c r="L99" s="296"/>
      <c r="M99" s="296"/>
      <c r="N99" s="296"/>
      <c r="O99" s="296"/>
      <c r="P99" s="296"/>
      <c r="Q99" s="296"/>
      <c r="R99" s="296"/>
      <c r="S99" s="296"/>
      <c r="T99" s="296"/>
    </row>
    <row r="100" spans="1:20">
      <c r="A100" s="1"/>
      <c r="B100" s="1" t="s">
        <v>282</v>
      </c>
      <c r="D100" s="296"/>
      <c r="E100" s="294"/>
      <c r="F100" s="294"/>
      <c r="G100" s="294"/>
      <c r="H100" s="296"/>
      <c r="I100" s="296"/>
      <c r="J100" s="296"/>
      <c r="K100" s="296"/>
      <c r="L100" s="296"/>
      <c r="M100" s="296"/>
      <c r="N100" s="296"/>
      <c r="O100" s="296"/>
      <c r="P100" s="296"/>
      <c r="Q100" s="296"/>
      <c r="R100" s="296"/>
      <c r="S100" s="296"/>
      <c r="T100" s="296"/>
    </row>
    <row r="101" spans="1:20" ht="12.75" thickBot="1">
      <c r="A101" s="1"/>
      <c r="C101" s="1" t="s">
        <v>287</v>
      </c>
      <c r="D101" s="296"/>
      <c r="E101" s="294"/>
      <c r="F101" s="294"/>
      <c r="G101" s="294"/>
      <c r="H101" s="309">
        <f t="shared" ref="H101:R101" si="12">IF(H102=0,0,H102/$T$102)</f>
        <v>0</v>
      </c>
      <c r="I101" s="309">
        <f t="shared" si="12"/>
        <v>0</v>
      </c>
      <c r="J101" s="309">
        <f t="shared" si="12"/>
        <v>0</v>
      </c>
      <c r="K101" s="309">
        <f t="shared" si="12"/>
        <v>0</v>
      </c>
      <c r="L101" s="309">
        <f t="shared" si="12"/>
        <v>0</v>
      </c>
      <c r="M101" s="309">
        <f t="shared" si="12"/>
        <v>0</v>
      </c>
      <c r="N101" s="309">
        <f t="shared" si="12"/>
        <v>0</v>
      </c>
      <c r="O101" s="309">
        <f t="shared" si="12"/>
        <v>0</v>
      </c>
      <c r="P101" s="309">
        <f t="shared" si="12"/>
        <v>0</v>
      </c>
      <c r="Q101" s="309">
        <f t="shared" si="12"/>
        <v>0</v>
      </c>
      <c r="R101" s="309">
        <f t="shared" si="12"/>
        <v>0</v>
      </c>
      <c r="S101" s="309">
        <f>IF(S102=0,0,S102/$T$102)</f>
        <v>0</v>
      </c>
      <c r="T101" s="310">
        <f>SUM(H101:S101)</f>
        <v>0</v>
      </c>
    </row>
    <row r="102" spans="1:20">
      <c r="A102" s="1"/>
      <c r="C102" s="1" t="str">
        <f>+$C$14</f>
        <v>Monthly Unit Sales Year 1</v>
      </c>
      <c r="D102" s="296"/>
      <c r="E102" s="294"/>
      <c r="F102" s="294"/>
      <c r="G102" s="294"/>
      <c r="H102" s="311"/>
      <c r="I102" s="311"/>
      <c r="J102" s="311"/>
      <c r="K102" s="311"/>
      <c r="L102" s="311"/>
      <c r="M102" s="311"/>
      <c r="N102" s="311"/>
      <c r="O102" s="311"/>
      <c r="P102" s="311"/>
      <c r="Q102" s="311"/>
      <c r="R102" s="311"/>
      <c r="S102" s="311"/>
      <c r="T102" s="312">
        <f>SUM(H102:S102)</f>
        <v>0</v>
      </c>
    </row>
    <row r="103" spans="1:20">
      <c r="A103" s="1"/>
      <c r="C103" s="1" t="s">
        <v>404</v>
      </c>
      <c r="D103" s="296"/>
      <c r="E103" s="302">
        <v>0</v>
      </c>
      <c r="F103" s="303"/>
      <c r="G103" s="298"/>
      <c r="H103" s="313">
        <f>IF($E103=0,S102,ROUND((1+($E103/12))*S102,0))</f>
        <v>0</v>
      </c>
      <c r="I103" s="313">
        <f>IF($E103=0,H103,ROUND((1+($E103/12))*H103,0))</f>
        <v>0</v>
      </c>
      <c r="J103" s="313">
        <f t="shared" ref="J103:S103" si="13">IF($E103=0,I103,ROUND((1+($E103/12))*I103,0))</f>
        <v>0</v>
      </c>
      <c r="K103" s="313">
        <f t="shared" si="13"/>
        <v>0</v>
      </c>
      <c r="L103" s="313">
        <f t="shared" si="13"/>
        <v>0</v>
      </c>
      <c r="M103" s="313">
        <f t="shared" si="13"/>
        <v>0</v>
      </c>
      <c r="N103" s="313">
        <f t="shared" si="13"/>
        <v>0</v>
      </c>
      <c r="O103" s="313">
        <f t="shared" si="13"/>
        <v>0</v>
      </c>
      <c r="P103" s="313">
        <f t="shared" si="13"/>
        <v>0</v>
      </c>
      <c r="Q103" s="313">
        <f t="shared" si="13"/>
        <v>0</v>
      </c>
      <c r="R103" s="313">
        <f t="shared" si="13"/>
        <v>0</v>
      </c>
      <c r="S103" s="313">
        <f t="shared" si="13"/>
        <v>0</v>
      </c>
      <c r="T103" s="312">
        <f>SUM(H103:S103)</f>
        <v>0</v>
      </c>
    </row>
    <row r="104" spans="1:20">
      <c r="A104" s="296"/>
      <c r="C104" s="1" t="s">
        <v>405</v>
      </c>
      <c r="D104" s="296"/>
      <c r="E104" s="302">
        <v>0</v>
      </c>
      <c r="F104" s="294"/>
      <c r="G104" s="298"/>
      <c r="H104" s="313">
        <f>IF($E104=0,S103,ROUND((1+($E104/12))*S103,0))</f>
        <v>0</v>
      </c>
      <c r="I104" s="313">
        <f>IF($E104=0,H104,ROUND((1+($E104/12))*H104,0))</f>
        <v>0</v>
      </c>
      <c r="J104" s="313">
        <f t="shared" ref="J104" si="14">IF($E104=0,I104,ROUND((1+($E104/12))*I104,0))</f>
        <v>0</v>
      </c>
      <c r="K104" s="313">
        <f t="shared" ref="K104" si="15">IF($E104=0,J104,ROUND((1+($E104/12))*J104,0))</f>
        <v>0</v>
      </c>
      <c r="L104" s="313">
        <f t="shared" ref="L104" si="16">IF($E104=0,K104,ROUND((1+($E104/12))*K104,0))</f>
        <v>0</v>
      </c>
      <c r="M104" s="313">
        <f t="shared" ref="M104" si="17">IF($E104=0,L104,ROUND((1+($E104/12))*L104,0))</f>
        <v>0</v>
      </c>
      <c r="N104" s="313">
        <f t="shared" ref="N104" si="18">IF($E104=0,M104,ROUND((1+($E104/12))*M104,0))</f>
        <v>0</v>
      </c>
      <c r="O104" s="313">
        <f t="shared" ref="O104" si="19">IF($E104=0,N104,ROUND((1+($E104/12))*N104,0))</f>
        <v>0</v>
      </c>
      <c r="P104" s="313">
        <f t="shared" ref="P104" si="20">IF($E104=0,O104,ROUND((1+($E104/12))*O104,0))</f>
        <v>0</v>
      </c>
      <c r="Q104" s="313">
        <f t="shared" ref="Q104" si="21">IF($E104=0,P104,ROUND((1+($E104/12))*P104,0))</f>
        <v>0</v>
      </c>
      <c r="R104" s="313">
        <f t="shared" ref="R104" si="22">IF($E104=0,Q104,ROUND((1+($E104/12))*Q104,0))</f>
        <v>0</v>
      </c>
      <c r="S104" s="313">
        <f t="shared" ref="S104" si="23">IF($E104=0,R104,ROUND((1+($E104/12))*R104,0))</f>
        <v>0</v>
      </c>
      <c r="T104" s="312">
        <f>SUM(H104:S104)</f>
        <v>0</v>
      </c>
    </row>
    <row r="105" spans="1:20">
      <c r="A105" s="296"/>
      <c r="B105" s="344" t="s">
        <v>115</v>
      </c>
      <c r="D105" s="296"/>
      <c r="E105" s="302"/>
      <c r="F105" s="294"/>
      <c r="G105" s="298"/>
      <c r="H105" s="314"/>
      <c r="I105" s="314"/>
      <c r="J105" s="314"/>
      <c r="K105" s="314"/>
      <c r="L105" s="314"/>
      <c r="M105" s="314"/>
      <c r="N105" s="314"/>
      <c r="O105" s="314"/>
      <c r="P105" s="314"/>
      <c r="Q105" s="314"/>
      <c r="R105" s="314"/>
      <c r="S105" s="314"/>
      <c r="T105" s="312"/>
    </row>
    <row r="106" spans="1:20">
      <c r="A106" s="296"/>
      <c r="D106" s="296"/>
      <c r="E106" s="294"/>
      <c r="F106" s="294"/>
      <c r="G106" s="294"/>
      <c r="H106" s="296"/>
      <c r="I106" s="296"/>
      <c r="J106" s="296"/>
      <c r="K106" s="296"/>
      <c r="L106" s="296"/>
      <c r="M106" s="296"/>
      <c r="N106" s="296"/>
      <c r="O106" s="296"/>
      <c r="P106" s="296"/>
      <c r="Q106" s="296"/>
      <c r="R106" s="296"/>
      <c r="S106" s="296"/>
      <c r="T106" s="296"/>
    </row>
    <row r="107" spans="1:20">
      <c r="A107" s="296"/>
      <c r="B107" s="1" t="s">
        <v>286</v>
      </c>
      <c r="D107" s="296"/>
      <c r="E107" s="305">
        <f>T102*E97</f>
        <v>0</v>
      </c>
      <c r="F107" s="298"/>
      <c r="G107" s="294"/>
      <c r="H107" s="296"/>
      <c r="I107" s="296"/>
      <c r="J107" s="296"/>
      <c r="K107" s="296"/>
      <c r="L107" s="296"/>
      <c r="M107" s="296"/>
      <c r="N107" s="296"/>
      <c r="O107" s="296"/>
      <c r="P107" s="296"/>
      <c r="Q107" s="296"/>
      <c r="R107" s="296"/>
      <c r="S107" s="296"/>
      <c r="T107" s="296"/>
    </row>
    <row r="108" spans="1:20">
      <c r="A108" s="296"/>
      <c r="B108" s="1" t="str">
        <f>+B98</f>
        <v>Calculated Cost of Goods Sold</v>
      </c>
      <c r="D108" s="296"/>
      <c r="E108" s="315">
        <f>E98*T102</f>
        <v>0</v>
      </c>
      <c r="F108" s="298"/>
      <c r="G108" s="294"/>
      <c r="H108" s="296"/>
      <c r="I108" s="296"/>
      <c r="J108" s="296"/>
      <c r="K108" s="296"/>
      <c r="L108" s="296"/>
      <c r="M108" s="296"/>
      <c r="N108" s="296"/>
      <c r="O108" s="296"/>
      <c r="P108" s="296"/>
      <c r="Q108" s="296"/>
      <c r="R108" s="296"/>
      <c r="S108" s="296"/>
      <c r="T108" s="296"/>
    </row>
    <row r="109" spans="1:20">
      <c r="A109" s="1"/>
      <c r="B109" s="1" t="s">
        <v>278</v>
      </c>
      <c r="D109" s="296"/>
      <c r="E109" s="308">
        <f>E107-E108</f>
        <v>0</v>
      </c>
      <c r="F109" s="298"/>
      <c r="G109" s="294"/>
      <c r="H109" s="296"/>
      <c r="I109" s="296"/>
      <c r="J109" s="296"/>
      <c r="K109" s="296"/>
      <c r="L109" s="296"/>
      <c r="M109" s="296"/>
      <c r="N109" s="296"/>
      <c r="O109" s="296"/>
      <c r="P109" s="296"/>
      <c r="Q109" s="296"/>
      <c r="R109" s="296"/>
      <c r="S109" s="296"/>
      <c r="T109" s="296"/>
    </row>
    <row r="110" spans="1:20">
      <c r="A110" s="1"/>
      <c r="B110" s="344" t="s">
        <v>116</v>
      </c>
      <c r="D110" s="296"/>
      <c r="E110" s="308">
        <f>E105*('3. Fixed Operating Expenses'!$I$44+'2a. Salaries and Wages Summary'!$O$36)</f>
        <v>0</v>
      </c>
      <c r="F110" s="298"/>
      <c r="G110" s="298"/>
      <c r="H110" s="296"/>
      <c r="I110" s="296"/>
      <c r="J110" s="296"/>
      <c r="K110" s="296"/>
      <c r="L110" s="296"/>
      <c r="M110" s="296"/>
      <c r="N110" s="296"/>
      <c r="O110" s="296"/>
      <c r="P110" s="296"/>
      <c r="Q110" s="296"/>
      <c r="R110" s="296"/>
      <c r="S110" s="296"/>
      <c r="T110" s="296"/>
    </row>
    <row r="111" spans="1:20" ht="12.75" thickBot="1">
      <c r="A111" s="1"/>
      <c r="B111" s="1" t="s">
        <v>279</v>
      </c>
      <c r="D111" s="296"/>
      <c r="E111" s="316">
        <f>E109-E110</f>
        <v>0</v>
      </c>
      <c r="F111" s="298">
        <f>IF(E97&gt;0,E111/E107,0)</f>
        <v>0</v>
      </c>
      <c r="G111" s="298"/>
      <c r="H111" s="296"/>
      <c r="I111" s="296"/>
      <c r="J111" s="296"/>
      <c r="K111" s="296"/>
      <c r="L111" s="296"/>
      <c r="M111" s="296"/>
      <c r="N111" s="296"/>
      <c r="O111" s="296"/>
      <c r="P111" s="296"/>
      <c r="Q111" s="296"/>
      <c r="R111" s="296"/>
      <c r="S111" s="296"/>
      <c r="T111" s="296"/>
    </row>
    <row r="112" spans="1:20" ht="12.75" thickTop="1">
      <c r="A112" s="1"/>
      <c r="D112" s="296"/>
      <c r="E112" s="294"/>
      <c r="F112" s="294"/>
      <c r="G112" s="294"/>
      <c r="H112" s="296"/>
      <c r="I112" s="296"/>
      <c r="J112" s="296"/>
      <c r="K112" s="296"/>
      <c r="L112" s="296"/>
      <c r="M112" s="296"/>
      <c r="N112" s="296"/>
      <c r="O112" s="296"/>
      <c r="P112" s="296"/>
      <c r="Q112" s="296"/>
      <c r="R112" s="296"/>
      <c r="S112" s="296"/>
      <c r="T112" s="296"/>
    </row>
    <row r="113" spans="1:20">
      <c r="A113" s="1"/>
      <c r="B113" s="1" t="s">
        <v>280</v>
      </c>
      <c r="D113" s="296"/>
      <c r="E113" s="307">
        <f>IF(E97&gt;0,E110/F99,0)</f>
        <v>0</v>
      </c>
      <c r="F113" s="294"/>
      <c r="G113" s="294"/>
      <c r="H113" s="317"/>
      <c r="I113" s="317"/>
      <c r="J113" s="317"/>
      <c r="K113" s="317"/>
      <c r="L113" s="317"/>
      <c r="M113" s="317"/>
      <c r="N113" s="317"/>
      <c r="O113" s="317"/>
      <c r="P113" s="317"/>
      <c r="Q113" s="317"/>
      <c r="R113" s="317"/>
      <c r="S113" s="317"/>
      <c r="T113" s="312"/>
    </row>
    <row r="114" spans="1:20">
      <c r="A114" s="1"/>
      <c r="B114" s="1" t="s">
        <v>281</v>
      </c>
      <c r="D114" s="296"/>
      <c r="E114" s="308">
        <f>IF(E97&gt;0,E113/E97,0)</f>
        <v>0</v>
      </c>
      <c r="F114" s="298"/>
      <c r="G114" s="298"/>
      <c r="H114" s="317"/>
      <c r="I114" s="317"/>
      <c r="J114" s="317"/>
      <c r="K114" s="317"/>
      <c r="L114" s="317"/>
      <c r="M114" s="317"/>
      <c r="N114" s="317"/>
      <c r="O114" s="317"/>
      <c r="P114" s="317"/>
      <c r="Q114" s="317"/>
      <c r="R114" s="317"/>
      <c r="S114" s="317"/>
      <c r="T114" s="312"/>
    </row>
    <row r="118" spans="1:20">
      <c r="A118" s="225" t="str">
        <f>+'4.Cost of Goods-Svcs Sold'!D14</f>
        <v>Product/Service 6</v>
      </c>
      <c r="B118" s="225"/>
      <c r="C118" s="225"/>
      <c r="D118" s="225"/>
      <c r="E118" s="294"/>
      <c r="F118" s="294"/>
      <c r="G118" s="294"/>
      <c r="H118" s="296"/>
      <c r="I118" s="296"/>
      <c r="J118" s="296"/>
      <c r="K118" s="296"/>
      <c r="L118" s="296"/>
      <c r="M118" s="296"/>
      <c r="N118" s="296"/>
      <c r="O118" s="296"/>
      <c r="P118" s="296"/>
      <c r="Q118" s="296"/>
      <c r="R118" s="296"/>
      <c r="S118" s="296"/>
    </row>
    <row r="119" spans="1:20">
      <c r="A119" s="1"/>
      <c r="B119" s="1" t="s">
        <v>276</v>
      </c>
      <c r="D119" s="296"/>
      <c r="E119" s="297"/>
      <c r="F119" s="298">
        <v>1</v>
      </c>
      <c r="G119" s="298"/>
      <c r="H119" s="296"/>
      <c r="I119" s="296"/>
      <c r="J119" s="296"/>
      <c r="K119" s="296"/>
      <c r="L119" s="296"/>
      <c r="M119" s="296"/>
      <c r="N119" s="296"/>
      <c r="O119" s="296"/>
      <c r="P119" s="296"/>
      <c r="Q119" s="296"/>
      <c r="R119" s="296"/>
      <c r="S119" s="296"/>
    </row>
    <row r="120" spans="1:20">
      <c r="A120" s="1"/>
      <c r="B120" s="1" t="s">
        <v>403</v>
      </c>
      <c r="D120" s="296"/>
      <c r="E120" s="397">
        <f>+'4.Cost of Goods-Svcs Sold'!E21</f>
        <v>0</v>
      </c>
      <c r="F120" s="299">
        <f>IF(E119&gt;0,E120/E119,0)</f>
        <v>0</v>
      </c>
      <c r="G120" s="298"/>
      <c r="H120" s="296"/>
      <c r="I120" s="296"/>
      <c r="J120" s="296"/>
      <c r="K120" s="296"/>
      <c r="L120" s="296"/>
      <c r="M120" s="296"/>
      <c r="N120" s="296"/>
      <c r="O120" s="296"/>
      <c r="P120" s="296"/>
      <c r="Q120" s="296"/>
      <c r="R120" s="296"/>
      <c r="S120" s="296"/>
    </row>
    <row r="121" spans="1:20">
      <c r="A121" s="1"/>
      <c r="B121" s="1" t="s">
        <v>289</v>
      </c>
      <c r="D121" s="296"/>
      <c r="E121" s="300">
        <f>+E119-E120</f>
        <v>0</v>
      </c>
      <c r="F121" s="298">
        <f>IF(E119&gt;0,E121/E119,0)</f>
        <v>0</v>
      </c>
      <c r="G121" s="298"/>
      <c r="H121" s="296"/>
      <c r="I121" s="296"/>
      <c r="J121" s="296"/>
      <c r="K121" s="296"/>
      <c r="L121" s="296"/>
      <c r="M121" s="296"/>
      <c r="N121" s="296"/>
      <c r="O121" s="296"/>
      <c r="P121" s="296"/>
      <c r="Q121" s="296"/>
      <c r="R121" s="296"/>
      <c r="S121" s="296"/>
    </row>
    <row r="122" spans="1:20">
      <c r="A122" s="1"/>
      <c r="B122" s="1" t="s">
        <v>282</v>
      </c>
      <c r="D122" s="296"/>
      <c r="E122" s="294"/>
      <c r="F122" s="294"/>
      <c r="G122" s="294"/>
      <c r="H122" s="296"/>
      <c r="I122" s="296"/>
      <c r="J122" s="296"/>
      <c r="K122" s="296"/>
      <c r="L122" s="296"/>
      <c r="M122" s="296"/>
      <c r="N122" s="296"/>
      <c r="O122" s="296"/>
      <c r="P122" s="296"/>
      <c r="Q122" s="296"/>
      <c r="R122" s="296"/>
      <c r="S122" s="296"/>
    </row>
    <row r="123" spans="1:20" ht="12.75" thickBot="1">
      <c r="A123" s="1"/>
      <c r="C123" s="1" t="s">
        <v>287</v>
      </c>
      <c r="D123" s="296"/>
      <c r="E123" s="294"/>
      <c r="F123" s="294"/>
      <c r="G123" s="294"/>
      <c r="H123" s="309">
        <f>IF(H124=0,0,H124/$T$124)</f>
        <v>0</v>
      </c>
      <c r="I123" s="309">
        <f t="shared" ref="I123:S123" si="24">IF(I124=0,0,I124/$T$124)</f>
        <v>0</v>
      </c>
      <c r="J123" s="309">
        <f t="shared" si="24"/>
        <v>0</v>
      </c>
      <c r="K123" s="309">
        <f t="shared" si="24"/>
        <v>0</v>
      </c>
      <c r="L123" s="309">
        <f t="shared" si="24"/>
        <v>0</v>
      </c>
      <c r="M123" s="309">
        <f t="shared" si="24"/>
        <v>0</v>
      </c>
      <c r="N123" s="309">
        <f t="shared" si="24"/>
        <v>0</v>
      </c>
      <c r="O123" s="309">
        <f t="shared" si="24"/>
        <v>0</v>
      </c>
      <c r="P123" s="309">
        <f t="shared" si="24"/>
        <v>0</v>
      </c>
      <c r="Q123" s="309">
        <f t="shared" si="24"/>
        <v>0</v>
      </c>
      <c r="R123" s="309">
        <f t="shared" si="24"/>
        <v>0</v>
      </c>
      <c r="S123" s="309">
        <f t="shared" si="24"/>
        <v>0</v>
      </c>
      <c r="T123" s="310">
        <f>SUM(H123:S123)</f>
        <v>0</v>
      </c>
    </row>
    <row r="124" spans="1:20">
      <c r="A124" s="1"/>
      <c r="C124" s="1" t="str">
        <f>+$C$14</f>
        <v>Monthly Unit Sales Year 1</v>
      </c>
      <c r="D124" s="296"/>
      <c r="E124" s="294"/>
      <c r="F124" s="294"/>
      <c r="G124" s="294"/>
      <c r="H124" s="311"/>
      <c r="I124" s="311"/>
      <c r="J124" s="311"/>
      <c r="K124" s="311"/>
      <c r="L124" s="311"/>
      <c r="M124" s="311"/>
      <c r="N124" s="311"/>
      <c r="O124" s="311"/>
      <c r="P124" s="311"/>
      <c r="Q124" s="311"/>
      <c r="R124" s="311"/>
      <c r="S124" s="311"/>
      <c r="T124" s="312">
        <f>SUM(H124:S124)</f>
        <v>0</v>
      </c>
    </row>
    <row r="125" spans="1:20">
      <c r="A125" s="1"/>
      <c r="C125" s="1" t="s">
        <v>404</v>
      </c>
      <c r="D125" s="296"/>
      <c r="E125" s="302">
        <v>0</v>
      </c>
      <c r="F125" s="303"/>
      <c r="G125" s="298"/>
      <c r="H125" s="313">
        <f>IF($E125=0,S124,ROUND((1+($E125/12))*S124,0))</f>
        <v>0</v>
      </c>
      <c r="I125" s="313">
        <f>IF($E125=0,H125,ROUND((1+($E125/12))*H125,0))</f>
        <v>0</v>
      </c>
      <c r="J125" s="313">
        <f t="shared" ref="J125:S125" si="25">IF($E125=0,I125,ROUND((1+($E125/12))*I125,0))</f>
        <v>0</v>
      </c>
      <c r="K125" s="313">
        <f t="shared" si="25"/>
        <v>0</v>
      </c>
      <c r="L125" s="313">
        <f t="shared" si="25"/>
        <v>0</v>
      </c>
      <c r="M125" s="313">
        <f t="shared" si="25"/>
        <v>0</v>
      </c>
      <c r="N125" s="313">
        <f t="shared" si="25"/>
        <v>0</v>
      </c>
      <c r="O125" s="313">
        <f t="shared" si="25"/>
        <v>0</v>
      </c>
      <c r="P125" s="313">
        <f t="shared" si="25"/>
        <v>0</v>
      </c>
      <c r="Q125" s="313">
        <f t="shared" si="25"/>
        <v>0</v>
      </c>
      <c r="R125" s="313">
        <f t="shared" si="25"/>
        <v>0</v>
      </c>
      <c r="S125" s="313">
        <f t="shared" si="25"/>
        <v>0</v>
      </c>
      <c r="T125" s="312">
        <f>SUM(H125:S125)</f>
        <v>0</v>
      </c>
    </row>
    <row r="126" spans="1:20">
      <c r="A126" s="296"/>
      <c r="C126" s="1" t="s">
        <v>405</v>
      </c>
      <c r="D126" s="296"/>
      <c r="E126" s="302">
        <v>0</v>
      </c>
      <c r="F126" s="294"/>
      <c r="G126" s="298"/>
      <c r="H126" s="313">
        <f>IF($E126=0,S125,ROUND((1+($E126/12))*S125,0))</f>
        <v>0</v>
      </c>
      <c r="I126" s="313">
        <f>IF($E126=0,H126,ROUND((1+($E126/12))*H126,0))</f>
        <v>0</v>
      </c>
      <c r="J126" s="313">
        <f t="shared" ref="J126" si="26">IF($E126=0,I126,ROUND((1+($E126/12))*I126,0))</f>
        <v>0</v>
      </c>
      <c r="K126" s="313">
        <f t="shared" ref="K126" si="27">IF($E126=0,J126,ROUND((1+($E126/12))*J126,0))</f>
        <v>0</v>
      </c>
      <c r="L126" s="313">
        <f t="shared" ref="L126" si="28">IF($E126=0,K126,ROUND((1+($E126/12))*K126,0))</f>
        <v>0</v>
      </c>
      <c r="M126" s="313">
        <f t="shared" ref="M126" si="29">IF($E126=0,L126,ROUND((1+($E126/12))*L126,0))</f>
        <v>0</v>
      </c>
      <c r="N126" s="313">
        <f t="shared" ref="N126" si="30">IF($E126=0,M126,ROUND((1+($E126/12))*M126,0))</f>
        <v>0</v>
      </c>
      <c r="O126" s="313">
        <f t="shared" ref="O126" si="31">IF($E126=0,N126,ROUND((1+($E126/12))*N126,0))</f>
        <v>0</v>
      </c>
      <c r="P126" s="313">
        <f t="shared" ref="P126" si="32">IF($E126=0,O126,ROUND((1+($E126/12))*O126,0))</f>
        <v>0</v>
      </c>
      <c r="Q126" s="313">
        <f t="shared" ref="Q126" si="33">IF($E126=0,P126,ROUND((1+($E126/12))*P126,0))</f>
        <v>0</v>
      </c>
      <c r="R126" s="313">
        <f t="shared" ref="R126" si="34">IF($E126=0,Q126,ROUND((1+($E126/12))*Q126,0))</f>
        <v>0</v>
      </c>
      <c r="S126" s="313">
        <f t="shared" ref="S126" si="35">IF($E126=0,R126,ROUND((1+($E126/12))*R126,0))</f>
        <v>0</v>
      </c>
      <c r="T126" s="312">
        <f>SUM(H126:S126)</f>
        <v>0</v>
      </c>
    </row>
    <row r="127" spans="1:20">
      <c r="A127" s="296"/>
      <c r="B127" s="344" t="s">
        <v>115</v>
      </c>
      <c r="D127" s="296"/>
      <c r="E127" s="302"/>
      <c r="F127" s="294"/>
      <c r="G127" s="298"/>
      <c r="H127" s="314"/>
      <c r="I127" s="314"/>
      <c r="J127" s="314"/>
      <c r="K127" s="314"/>
      <c r="L127" s="314"/>
      <c r="M127" s="314"/>
      <c r="N127" s="314"/>
      <c r="O127" s="314"/>
      <c r="P127" s="314"/>
      <c r="Q127" s="314"/>
      <c r="R127" s="314"/>
      <c r="S127" s="314"/>
    </row>
    <row r="128" spans="1:20">
      <c r="A128" s="24"/>
      <c r="B128" s="23"/>
      <c r="C128" s="23"/>
      <c r="D128" s="24"/>
      <c r="E128" s="66"/>
      <c r="F128" s="66"/>
      <c r="G128" s="66"/>
      <c r="H128" s="24"/>
      <c r="I128" s="24"/>
      <c r="J128" s="24"/>
      <c r="K128" s="24"/>
      <c r="L128" s="24"/>
      <c r="M128" s="24"/>
      <c r="N128" s="24"/>
      <c r="O128" s="24"/>
      <c r="P128" s="24"/>
      <c r="Q128" s="24"/>
      <c r="R128" s="24"/>
      <c r="S128" s="24"/>
    </row>
    <row r="129" spans="1:20">
      <c r="A129" s="24"/>
      <c r="B129" s="23" t="s">
        <v>286</v>
      </c>
      <c r="C129" s="23"/>
      <c r="D129" s="24"/>
      <c r="E129" s="72">
        <f>T124*E119</f>
        <v>0</v>
      </c>
      <c r="F129" s="67"/>
      <c r="G129" s="66"/>
      <c r="H129" s="24"/>
      <c r="I129" s="24"/>
      <c r="J129" s="24"/>
      <c r="K129" s="24"/>
      <c r="L129" s="24"/>
      <c r="M129" s="24"/>
      <c r="N129" s="24"/>
      <c r="O129" s="24"/>
      <c r="P129" s="24"/>
      <c r="Q129" s="24"/>
      <c r="R129" s="24"/>
      <c r="S129" s="24"/>
    </row>
    <row r="130" spans="1:20">
      <c r="A130" s="24"/>
      <c r="B130" s="1" t="str">
        <f>+B120</f>
        <v>Calculated Cost of Goods Sold</v>
      </c>
      <c r="C130" s="23"/>
      <c r="D130" s="24"/>
      <c r="E130" s="73">
        <f>E120*T124</f>
        <v>0</v>
      </c>
      <c r="F130" s="67"/>
      <c r="G130" s="66"/>
      <c r="H130" s="24"/>
      <c r="I130" s="24"/>
      <c r="J130" s="24"/>
      <c r="K130" s="24"/>
      <c r="L130" s="24"/>
      <c r="M130" s="24"/>
      <c r="N130" s="24"/>
      <c r="O130" s="24"/>
      <c r="P130" s="24"/>
      <c r="Q130" s="24"/>
      <c r="R130" s="24"/>
      <c r="S130" s="24"/>
    </row>
    <row r="131" spans="1:20">
      <c r="A131" s="23"/>
      <c r="B131" s="23" t="s">
        <v>278</v>
      </c>
      <c r="C131" s="23"/>
      <c r="D131" s="24"/>
      <c r="E131" s="74">
        <f>E129-E130</f>
        <v>0</v>
      </c>
      <c r="F131" s="67"/>
      <c r="G131" s="66"/>
      <c r="H131" s="24"/>
      <c r="I131" s="24"/>
      <c r="J131" s="24"/>
      <c r="K131" s="24"/>
      <c r="L131" s="24"/>
      <c r="M131" s="24"/>
      <c r="N131" s="24"/>
      <c r="O131" s="24"/>
      <c r="P131" s="24"/>
      <c r="Q131" s="24"/>
      <c r="R131" s="24"/>
      <c r="S131" s="24"/>
    </row>
    <row r="132" spans="1:20">
      <c r="A132" s="23"/>
      <c r="B132" s="344" t="s">
        <v>116</v>
      </c>
      <c r="C132" s="23"/>
      <c r="D132" s="24"/>
      <c r="E132" s="308">
        <f>E127*('3. Fixed Operating Expenses'!$I$44+'2a. Salaries and Wages Summary'!$O$36)</f>
        <v>0</v>
      </c>
      <c r="F132" s="67"/>
      <c r="G132" s="67"/>
      <c r="H132" s="24"/>
      <c r="I132" s="24"/>
      <c r="J132" s="24"/>
      <c r="K132" s="24"/>
      <c r="L132" s="24"/>
      <c r="M132" s="24"/>
      <c r="N132" s="24"/>
      <c r="O132" s="24"/>
      <c r="P132" s="24"/>
      <c r="Q132" s="24"/>
      <c r="R132" s="24"/>
      <c r="S132" s="24"/>
    </row>
    <row r="133" spans="1:20" ht="12.75" thickBot="1">
      <c r="A133" s="23"/>
      <c r="B133" s="23" t="s">
        <v>279</v>
      </c>
      <c r="C133" s="23"/>
      <c r="D133" s="24"/>
      <c r="E133" s="75">
        <f>E131-E132</f>
        <v>0</v>
      </c>
      <c r="F133" s="67">
        <f>IF(E119&gt;0,E133/E129,0)</f>
        <v>0</v>
      </c>
      <c r="G133" s="67"/>
      <c r="H133" s="24"/>
      <c r="I133" s="24"/>
      <c r="J133" s="24"/>
      <c r="K133" s="24"/>
      <c r="L133" s="24"/>
      <c r="M133" s="24"/>
      <c r="N133" s="24"/>
      <c r="O133" s="24"/>
      <c r="P133" s="24"/>
      <c r="Q133" s="24"/>
      <c r="R133" s="24"/>
      <c r="S133" s="24"/>
    </row>
    <row r="134" spans="1:20" ht="12.75" thickTop="1">
      <c r="A134" s="23"/>
      <c r="B134" s="23"/>
      <c r="C134" s="23"/>
      <c r="D134" s="24"/>
      <c r="E134" s="66"/>
      <c r="F134" s="66"/>
      <c r="G134" s="66"/>
      <c r="H134" s="24"/>
      <c r="I134" s="24"/>
      <c r="J134" s="24"/>
      <c r="K134" s="24"/>
      <c r="L134" s="24"/>
      <c r="M134" s="24"/>
      <c r="N134" s="24"/>
      <c r="O134" s="24"/>
      <c r="P134" s="24"/>
      <c r="Q134" s="24"/>
      <c r="R134" s="24"/>
      <c r="S134" s="24"/>
    </row>
    <row r="135" spans="1:20">
      <c r="A135" s="23"/>
      <c r="B135" s="23" t="s">
        <v>280</v>
      </c>
      <c r="C135" s="23"/>
      <c r="D135" s="24"/>
      <c r="E135" s="76">
        <f>IF(E119&gt;0,E132/F121,0)</f>
        <v>0</v>
      </c>
      <c r="F135" s="66"/>
      <c r="G135" s="66"/>
      <c r="H135" s="31"/>
      <c r="I135" s="31"/>
      <c r="J135" s="31"/>
      <c r="K135" s="31"/>
      <c r="L135" s="31"/>
      <c r="M135" s="31"/>
      <c r="N135" s="31"/>
      <c r="O135" s="31"/>
      <c r="P135" s="31"/>
      <c r="Q135" s="31"/>
      <c r="R135" s="31"/>
      <c r="S135" s="31"/>
    </row>
    <row r="136" spans="1:20">
      <c r="A136" s="23"/>
      <c r="B136" s="23" t="s">
        <v>281</v>
      </c>
      <c r="C136" s="23"/>
      <c r="D136" s="24"/>
      <c r="E136" s="74">
        <f>IF(E119&gt;0,E135/E119,0)</f>
        <v>0</v>
      </c>
      <c r="F136" s="67"/>
      <c r="G136" s="67"/>
      <c r="H136" s="31"/>
      <c r="I136" s="31"/>
      <c r="J136" s="31"/>
      <c r="K136" s="31"/>
      <c r="L136" s="31"/>
      <c r="M136" s="31"/>
      <c r="N136" s="31"/>
      <c r="O136" s="31"/>
      <c r="P136" s="31"/>
      <c r="Q136" s="31"/>
      <c r="R136" s="31"/>
      <c r="S136" s="31"/>
    </row>
    <row r="141" spans="1:20">
      <c r="A141" s="1" t="s">
        <v>375</v>
      </c>
    </row>
    <row r="142" spans="1:20">
      <c r="B142" s="1" t="str">
        <f>A8</f>
        <v>Product/Service 1</v>
      </c>
      <c r="E142" s="3" t="s">
        <v>376</v>
      </c>
      <c r="H142" s="270">
        <f>IF(H14*('4.Cost of Goods-Svcs Sold'!$B$7+'4.Cost of Goods-Svcs Sold'!$B$10)&gt;0,H14*('4.Cost of Goods-Svcs Sold'!$B$7+'4.Cost of Goods-Svcs Sold'!$B$10),0)</f>
        <v>0</v>
      </c>
      <c r="I142" s="270">
        <f>IF(I14*('4.Cost of Goods-Svcs Sold'!$B$7+'4.Cost of Goods-Svcs Sold'!$B$10)&gt;0,I14*('4.Cost of Goods-Svcs Sold'!$B$7+'4.Cost of Goods-Svcs Sold'!$B$10),0)</f>
        <v>0</v>
      </c>
      <c r="J142" s="270">
        <f>IF(J14*('4.Cost of Goods-Svcs Sold'!$B$7+'4.Cost of Goods-Svcs Sold'!$B$10)&gt;0,J14*('4.Cost of Goods-Svcs Sold'!$B$7+'4.Cost of Goods-Svcs Sold'!$B$10),0)</f>
        <v>0</v>
      </c>
      <c r="K142" s="270">
        <f>IF(K14*('4.Cost of Goods-Svcs Sold'!$B$7+'4.Cost of Goods-Svcs Sold'!$B$10)&gt;0,K14*('4.Cost of Goods-Svcs Sold'!$B$7+'4.Cost of Goods-Svcs Sold'!$B$10),0)</f>
        <v>0</v>
      </c>
      <c r="L142" s="270">
        <f>IF(L14*('4.Cost of Goods-Svcs Sold'!$B$7+'4.Cost of Goods-Svcs Sold'!$B$10)&gt;0,L14*('4.Cost of Goods-Svcs Sold'!$B$7+'4.Cost of Goods-Svcs Sold'!$B$10),0)</f>
        <v>0</v>
      </c>
      <c r="M142" s="270">
        <f>IF(M14*('4.Cost of Goods-Svcs Sold'!$B$7+'4.Cost of Goods-Svcs Sold'!$B$10)&gt;0,M14*('4.Cost of Goods-Svcs Sold'!$B$7+'4.Cost of Goods-Svcs Sold'!$B$10),0)</f>
        <v>0</v>
      </c>
      <c r="N142" s="270">
        <f>IF(N14*('4.Cost of Goods-Svcs Sold'!$B$7+'4.Cost of Goods-Svcs Sold'!$B$10)&gt;0,N14*('4.Cost of Goods-Svcs Sold'!$B$7+'4.Cost of Goods-Svcs Sold'!$B$10),0)</f>
        <v>0</v>
      </c>
      <c r="O142" s="270">
        <f>IF(O14*('4.Cost of Goods-Svcs Sold'!$B$7+'4.Cost of Goods-Svcs Sold'!$B$10)&gt;0,O14*('4.Cost of Goods-Svcs Sold'!$B$7+'4.Cost of Goods-Svcs Sold'!$B$10),0)</f>
        <v>0</v>
      </c>
      <c r="P142" s="270">
        <f>IF(P14*('4.Cost of Goods-Svcs Sold'!$B$7+'4.Cost of Goods-Svcs Sold'!$B$10)&gt;0,P14*('4.Cost of Goods-Svcs Sold'!$B$7+'4.Cost of Goods-Svcs Sold'!$B$10),0)</f>
        <v>0</v>
      </c>
      <c r="Q142" s="270">
        <f>IF(Q14*('4.Cost of Goods-Svcs Sold'!$B$7+'4.Cost of Goods-Svcs Sold'!$B$10)&gt;0,Q14*('4.Cost of Goods-Svcs Sold'!$B$7+'4.Cost of Goods-Svcs Sold'!$B$10),0)</f>
        <v>0</v>
      </c>
      <c r="R142" s="270">
        <f>IF(R14*('4.Cost of Goods-Svcs Sold'!$B$7+'4.Cost of Goods-Svcs Sold'!$B$10)&gt;0,R14*('4.Cost of Goods-Svcs Sold'!$B$7+'4.Cost of Goods-Svcs Sold'!$B$10),0)</f>
        <v>0</v>
      </c>
      <c r="S142" s="270">
        <f>IF(S14*('4.Cost of Goods-Svcs Sold'!$B$7+'4.Cost of Goods-Svcs Sold'!$B$10)&gt;0,S14*('4.Cost of Goods-Svcs Sold'!$B$7+'4.Cost of Goods-Svcs Sold'!$B$10),0)</f>
        <v>0</v>
      </c>
    </row>
    <row r="143" spans="1:20">
      <c r="E143" s="3" t="s">
        <v>377</v>
      </c>
      <c r="H143" s="270">
        <f>IF(H15*('4.Cost of Goods-Svcs Sold'!$B$7+'4.Cost of Goods-Svcs Sold'!$B$10)&gt;0,H15*('4.Cost of Goods-Svcs Sold'!$B$7+'4.Cost of Goods-Svcs Sold'!$B$10),0)</f>
        <v>0</v>
      </c>
      <c r="I143" s="270">
        <f>IF(I15*('4.Cost of Goods-Svcs Sold'!$B$7+'4.Cost of Goods-Svcs Sold'!$B$10)&gt;0,I15*('4.Cost of Goods-Svcs Sold'!$B$7+'4.Cost of Goods-Svcs Sold'!$B$10),0)</f>
        <v>0</v>
      </c>
      <c r="J143" s="270">
        <f>IF(J15*('4.Cost of Goods-Svcs Sold'!$B$7+'4.Cost of Goods-Svcs Sold'!$B$10)&gt;0,J15*('4.Cost of Goods-Svcs Sold'!$B$7+'4.Cost of Goods-Svcs Sold'!$B$10),0)</f>
        <v>0</v>
      </c>
      <c r="K143" s="270">
        <f>IF(K15*('4.Cost of Goods-Svcs Sold'!$B$7+'4.Cost of Goods-Svcs Sold'!$B$10)&gt;0,K15*('4.Cost of Goods-Svcs Sold'!$B$7+'4.Cost of Goods-Svcs Sold'!$B$10),0)</f>
        <v>0</v>
      </c>
      <c r="L143" s="270">
        <f>IF(L15*('4.Cost of Goods-Svcs Sold'!$B$7+'4.Cost of Goods-Svcs Sold'!$B$10)&gt;0,L15*('4.Cost of Goods-Svcs Sold'!$B$7+'4.Cost of Goods-Svcs Sold'!$B$10),0)</f>
        <v>0</v>
      </c>
      <c r="M143" s="270">
        <f>IF(M15*('4.Cost of Goods-Svcs Sold'!$B$7+'4.Cost of Goods-Svcs Sold'!$B$10)&gt;0,M15*('4.Cost of Goods-Svcs Sold'!$B$7+'4.Cost of Goods-Svcs Sold'!$B$10),0)</f>
        <v>0</v>
      </c>
      <c r="N143" s="270">
        <f>IF(N15*('4.Cost of Goods-Svcs Sold'!$B$7+'4.Cost of Goods-Svcs Sold'!$B$10)&gt;0,N15*('4.Cost of Goods-Svcs Sold'!$B$7+'4.Cost of Goods-Svcs Sold'!$B$10),0)</f>
        <v>0</v>
      </c>
      <c r="O143" s="270">
        <f>IF(O15*('4.Cost of Goods-Svcs Sold'!$B$7+'4.Cost of Goods-Svcs Sold'!$B$10)&gt;0,O15*('4.Cost of Goods-Svcs Sold'!$B$7+'4.Cost of Goods-Svcs Sold'!$B$10),0)</f>
        <v>0</v>
      </c>
      <c r="P143" s="270">
        <f>IF(P15*('4.Cost of Goods-Svcs Sold'!$B$7+'4.Cost of Goods-Svcs Sold'!$B$10)&gt;0,P15*('4.Cost of Goods-Svcs Sold'!$B$7+'4.Cost of Goods-Svcs Sold'!$B$10),0)</f>
        <v>0</v>
      </c>
      <c r="Q143" s="270">
        <f>IF(Q15*('4.Cost of Goods-Svcs Sold'!$B$7+'4.Cost of Goods-Svcs Sold'!$B$10)&gt;0,Q15*('4.Cost of Goods-Svcs Sold'!$B$7+'4.Cost of Goods-Svcs Sold'!$B$10),0)</f>
        <v>0</v>
      </c>
      <c r="R143" s="270">
        <f>IF(R15*('4.Cost of Goods-Svcs Sold'!$B$7+'4.Cost of Goods-Svcs Sold'!$B$10)&gt;0,R15*('4.Cost of Goods-Svcs Sold'!$B$7+'4.Cost of Goods-Svcs Sold'!$B$10),0)</f>
        <v>0</v>
      </c>
      <c r="S143" s="270">
        <f>IF(S15*('4.Cost of Goods-Svcs Sold'!$B$7+'4.Cost of Goods-Svcs Sold'!$B$10)&gt;0,S15*('4.Cost of Goods-Svcs Sold'!$B$7+'4.Cost of Goods-Svcs Sold'!$B$10),0)</f>
        <v>0</v>
      </c>
    </row>
    <row r="144" spans="1:20">
      <c r="E144" s="3" t="s">
        <v>378</v>
      </c>
      <c r="H144" s="270">
        <f>IF(H16*('4.Cost of Goods-Svcs Sold'!$B$7+'4.Cost of Goods-Svcs Sold'!$B$10)&gt;0,H16*('4.Cost of Goods-Svcs Sold'!$B$7+'4.Cost of Goods-Svcs Sold'!$B$10),0)</f>
        <v>0</v>
      </c>
      <c r="I144" s="270">
        <f>IF(I16*('4.Cost of Goods-Svcs Sold'!$B$7+'4.Cost of Goods-Svcs Sold'!$B$10)&gt;0,I16*('4.Cost of Goods-Svcs Sold'!$B$7+'4.Cost of Goods-Svcs Sold'!$B$10),0)</f>
        <v>0</v>
      </c>
      <c r="J144" s="270">
        <f>IF(J16*('4.Cost of Goods-Svcs Sold'!$B$7+'4.Cost of Goods-Svcs Sold'!$B$10)&gt;0,J16*('4.Cost of Goods-Svcs Sold'!$B$7+'4.Cost of Goods-Svcs Sold'!$B$10),0)</f>
        <v>0</v>
      </c>
      <c r="K144" s="270">
        <f>IF(K16*('4.Cost of Goods-Svcs Sold'!$B$7+'4.Cost of Goods-Svcs Sold'!$B$10)&gt;0,K16*('4.Cost of Goods-Svcs Sold'!$B$7+'4.Cost of Goods-Svcs Sold'!$B$10),0)</f>
        <v>0</v>
      </c>
      <c r="L144" s="270">
        <f>IF(L16*('4.Cost of Goods-Svcs Sold'!$B$7+'4.Cost of Goods-Svcs Sold'!$B$10)&gt;0,L16*('4.Cost of Goods-Svcs Sold'!$B$7+'4.Cost of Goods-Svcs Sold'!$B$10),0)</f>
        <v>0</v>
      </c>
      <c r="M144" s="270">
        <f>IF(M16*('4.Cost of Goods-Svcs Sold'!$B$7+'4.Cost of Goods-Svcs Sold'!$B$10)&gt;0,M16*('4.Cost of Goods-Svcs Sold'!$B$7+'4.Cost of Goods-Svcs Sold'!$B$10),0)</f>
        <v>0</v>
      </c>
      <c r="N144" s="270">
        <f>IF(N16*('4.Cost of Goods-Svcs Sold'!$B$7+'4.Cost of Goods-Svcs Sold'!$B$10)&gt;0,N16*('4.Cost of Goods-Svcs Sold'!$B$7+'4.Cost of Goods-Svcs Sold'!$B$10),0)</f>
        <v>0</v>
      </c>
      <c r="O144" s="270">
        <f>IF(O16*('4.Cost of Goods-Svcs Sold'!$B$7+'4.Cost of Goods-Svcs Sold'!$B$10)&gt;0,O16*('4.Cost of Goods-Svcs Sold'!$B$7+'4.Cost of Goods-Svcs Sold'!$B$10),0)</f>
        <v>0</v>
      </c>
      <c r="P144" s="270">
        <f>IF(P16*('4.Cost of Goods-Svcs Sold'!$B$7+'4.Cost of Goods-Svcs Sold'!$B$10)&gt;0,P16*('4.Cost of Goods-Svcs Sold'!$B$7+'4.Cost of Goods-Svcs Sold'!$B$10),0)</f>
        <v>0</v>
      </c>
      <c r="Q144" s="270">
        <f>IF(Q16*('4.Cost of Goods-Svcs Sold'!$B$7+'4.Cost of Goods-Svcs Sold'!$B$10)&gt;0,Q16*('4.Cost of Goods-Svcs Sold'!$B$7+'4.Cost of Goods-Svcs Sold'!$B$10),0)</f>
        <v>0</v>
      </c>
      <c r="R144" s="270">
        <f>IF(R16*('4.Cost of Goods-Svcs Sold'!$B$7+'4.Cost of Goods-Svcs Sold'!$B$10)&gt;0,R16*('4.Cost of Goods-Svcs Sold'!$B$7+'4.Cost of Goods-Svcs Sold'!$B$10),0)</f>
        <v>0</v>
      </c>
      <c r="S144" s="270">
        <f>IF(S16*('4.Cost of Goods-Svcs Sold'!$B$7+'4.Cost of Goods-Svcs Sold'!$B$10)&gt;0,S16*('4.Cost of Goods-Svcs Sold'!$B$7+'4.Cost of Goods-Svcs Sold'!$B$10),0)</f>
        <v>0</v>
      </c>
      <c r="T144" s="21"/>
    </row>
    <row r="146" spans="2:19">
      <c r="B146" s="1" t="str">
        <f>A30</f>
        <v>Product/Service 2</v>
      </c>
      <c r="E146" s="3" t="s">
        <v>376</v>
      </c>
      <c r="H146" s="270">
        <f>IF(H36*('4.Cost of Goods-Svcs Sold'!$E$7+'4.Cost of Goods-Svcs Sold'!$E$10)&gt;0,H36*('4.Cost of Goods-Svcs Sold'!$E$7+'4.Cost of Goods-Svcs Sold'!$E$10),0)</f>
        <v>0</v>
      </c>
      <c r="I146" s="270">
        <f>IF(I36*('4.Cost of Goods-Svcs Sold'!$E$7+'4.Cost of Goods-Svcs Sold'!$E$10)&gt;0,I36*('4.Cost of Goods-Svcs Sold'!$E$7+'4.Cost of Goods-Svcs Sold'!$E$10),0)</f>
        <v>0</v>
      </c>
      <c r="J146" s="270">
        <f>IF(J36*('4.Cost of Goods-Svcs Sold'!$E$7+'4.Cost of Goods-Svcs Sold'!$E$10)&gt;0,J36*('4.Cost of Goods-Svcs Sold'!$E$7+'4.Cost of Goods-Svcs Sold'!$E$10),0)</f>
        <v>0</v>
      </c>
      <c r="K146" s="270">
        <f>IF(K36*('4.Cost of Goods-Svcs Sold'!$E$7+'4.Cost of Goods-Svcs Sold'!$E$10)&gt;0,K36*('4.Cost of Goods-Svcs Sold'!$E$7+'4.Cost of Goods-Svcs Sold'!$E$10),0)</f>
        <v>0</v>
      </c>
      <c r="L146" s="270">
        <f>IF(L36*('4.Cost of Goods-Svcs Sold'!$E$7+'4.Cost of Goods-Svcs Sold'!$E$10)&gt;0,L36*('4.Cost of Goods-Svcs Sold'!$E$7+'4.Cost of Goods-Svcs Sold'!$E$10),0)</f>
        <v>0</v>
      </c>
      <c r="M146" s="270">
        <f>IF(M36*('4.Cost of Goods-Svcs Sold'!$E$7+'4.Cost of Goods-Svcs Sold'!$E$10)&gt;0,M36*('4.Cost of Goods-Svcs Sold'!$E$7+'4.Cost of Goods-Svcs Sold'!$E$10),0)</f>
        <v>0</v>
      </c>
      <c r="N146" s="270">
        <f>IF(N36*('4.Cost of Goods-Svcs Sold'!$E$7+'4.Cost of Goods-Svcs Sold'!$E$10)&gt;0,N36*('4.Cost of Goods-Svcs Sold'!$E$7+'4.Cost of Goods-Svcs Sold'!$E$10),0)</f>
        <v>0</v>
      </c>
      <c r="O146" s="270">
        <f>IF(O36*('4.Cost of Goods-Svcs Sold'!$E$7+'4.Cost of Goods-Svcs Sold'!$E$10)&gt;0,O36*('4.Cost of Goods-Svcs Sold'!$E$7+'4.Cost of Goods-Svcs Sold'!$E$10),0)</f>
        <v>0</v>
      </c>
      <c r="P146" s="270">
        <f>IF(P36*('4.Cost of Goods-Svcs Sold'!$E$7+'4.Cost of Goods-Svcs Sold'!$E$10)&gt;0,P36*('4.Cost of Goods-Svcs Sold'!$E$7+'4.Cost of Goods-Svcs Sold'!$E$10),0)</f>
        <v>0</v>
      </c>
      <c r="Q146" s="270">
        <f>IF(Q36*('4.Cost of Goods-Svcs Sold'!$E$7+'4.Cost of Goods-Svcs Sold'!$E$10)&gt;0,Q36*('4.Cost of Goods-Svcs Sold'!$E$7+'4.Cost of Goods-Svcs Sold'!$E$10),0)</f>
        <v>0</v>
      </c>
      <c r="R146" s="270">
        <f>IF(R36*('4.Cost of Goods-Svcs Sold'!$E$7+'4.Cost of Goods-Svcs Sold'!$E$10)&gt;0,R36*('4.Cost of Goods-Svcs Sold'!$E$7+'4.Cost of Goods-Svcs Sold'!$E$10),0)</f>
        <v>0</v>
      </c>
      <c r="S146" s="270">
        <f>IF(S36*('4.Cost of Goods-Svcs Sold'!$E$7+'4.Cost of Goods-Svcs Sold'!$E$10)&gt;0,S36*('4.Cost of Goods-Svcs Sold'!$E$7+'4.Cost of Goods-Svcs Sold'!$E$10),0)</f>
        <v>0</v>
      </c>
    </row>
    <row r="147" spans="2:19">
      <c r="E147" s="3" t="s">
        <v>377</v>
      </c>
      <c r="H147" s="270">
        <f>IF(H37*('4.Cost of Goods-Svcs Sold'!$E$7+'4.Cost of Goods-Svcs Sold'!$E$10)&gt;0,H37*('4.Cost of Goods-Svcs Sold'!$E$7+'4.Cost of Goods-Svcs Sold'!$E$10),0)</f>
        <v>0</v>
      </c>
      <c r="I147" s="270">
        <f>IF(I37*('4.Cost of Goods-Svcs Sold'!$E$7+'4.Cost of Goods-Svcs Sold'!$E$10)&gt;0,I37*('4.Cost of Goods-Svcs Sold'!$E$7+'4.Cost of Goods-Svcs Sold'!$E$10),0)</f>
        <v>0</v>
      </c>
      <c r="J147" s="270">
        <f>IF(J37*('4.Cost of Goods-Svcs Sold'!$E$7+'4.Cost of Goods-Svcs Sold'!$E$10)&gt;0,J37*('4.Cost of Goods-Svcs Sold'!$E$7+'4.Cost of Goods-Svcs Sold'!$E$10),0)</f>
        <v>0</v>
      </c>
      <c r="K147" s="270">
        <f>IF(K37*('4.Cost of Goods-Svcs Sold'!$E$7+'4.Cost of Goods-Svcs Sold'!$E$10)&gt;0,K37*('4.Cost of Goods-Svcs Sold'!$E$7+'4.Cost of Goods-Svcs Sold'!$E$10),0)</f>
        <v>0</v>
      </c>
      <c r="L147" s="270">
        <f>IF(L37*('4.Cost of Goods-Svcs Sold'!$E$7+'4.Cost of Goods-Svcs Sold'!$E$10)&gt;0,L37*('4.Cost of Goods-Svcs Sold'!$E$7+'4.Cost of Goods-Svcs Sold'!$E$10),0)</f>
        <v>0</v>
      </c>
      <c r="M147" s="270">
        <f>IF(M37*('4.Cost of Goods-Svcs Sold'!$E$7+'4.Cost of Goods-Svcs Sold'!$E$10)&gt;0,M37*('4.Cost of Goods-Svcs Sold'!$E$7+'4.Cost of Goods-Svcs Sold'!$E$10),0)</f>
        <v>0</v>
      </c>
      <c r="N147" s="270">
        <f>IF(N37*('4.Cost of Goods-Svcs Sold'!$E$7+'4.Cost of Goods-Svcs Sold'!$E$10)&gt;0,N37*('4.Cost of Goods-Svcs Sold'!$E$7+'4.Cost of Goods-Svcs Sold'!$E$10),0)</f>
        <v>0</v>
      </c>
      <c r="O147" s="270">
        <f>IF(O37*('4.Cost of Goods-Svcs Sold'!$E$7+'4.Cost of Goods-Svcs Sold'!$E$10)&gt;0,O37*('4.Cost of Goods-Svcs Sold'!$E$7+'4.Cost of Goods-Svcs Sold'!$E$10),0)</f>
        <v>0</v>
      </c>
      <c r="P147" s="270">
        <f>IF(P37*('4.Cost of Goods-Svcs Sold'!$E$7+'4.Cost of Goods-Svcs Sold'!$E$10)&gt;0,P37*('4.Cost of Goods-Svcs Sold'!$E$7+'4.Cost of Goods-Svcs Sold'!$E$10),0)</f>
        <v>0</v>
      </c>
      <c r="Q147" s="270">
        <f>IF(Q37*('4.Cost of Goods-Svcs Sold'!$E$7+'4.Cost of Goods-Svcs Sold'!$E$10)&gt;0,Q37*('4.Cost of Goods-Svcs Sold'!$E$7+'4.Cost of Goods-Svcs Sold'!$E$10),0)</f>
        <v>0</v>
      </c>
      <c r="R147" s="270">
        <f>IF(R37*('4.Cost of Goods-Svcs Sold'!$E$7+'4.Cost of Goods-Svcs Sold'!$E$10)&gt;0,R37*('4.Cost of Goods-Svcs Sold'!$E$7+'4.Cost of Goods-Svcs Sold'!$E$10),0)</f>
        <v>0</v>
      </c>
      <c r="S147" s="270">
        <f>IF(S37*('4.Cost of Goods-Svcs Sold'!$E$7+'4.Cost of Goods-Svcs Sold'!$E$10)&gt;0,S37*('4.Cost of Goods-Svcs Sold'!$E$7+'4.Cost of Goods-Svcs Sold'!$E$10),0)</f>
        <v>0</v>
      </c>
    </row>
    <row r="148" spans="2:19">
      <c r="E148" s="3" t="s">
        <v>378</v>
      </c>
      <c r="H148" s="270">
        <f>IF(H38*('4.Cost of Goods-Svcs Sold'!$E$7+'4.Cost of Goods-Svcs Sold'!$E$10)&gt;0,H38*('4.Cost of Goods-Svcs Sold'!$E$7+'4.Cost of Goods-Svcs Sold'!$E$10),0)</f>
        <v>0</v>
      </c>
      <c r="I148" s="270">
        <f>IF(I38*('4.Cost of Goods-Svcs Sold'!$E$7+'4.Cost of Goods-Svcs Sold'!$E$10)&gt;0,I38*('4.Cost of Goods-Svcs Sold'!$E$7+'4.Cost of Goods-Svcs Sold'!$E$10),0)</f>
        <v>0</v>
      </c>
      <c r="J148" s="270">
        <f>IF(J38*('4.Cost of Goods-Svcs Sold'!$E$7+'4.Cost of Goods-Svcs Sold'!$E$10)&gt;0,J38*('4.Cost of Goods-Svcs Sold'!$E$7+'4.Cost of Goods-Svcs Sold'!$E$10),0)</f>
        <v>0</v>
      </c>
      <c r="K148" s="270">
        <f>IF(K38*('4.Cost of Goods-Svcs Sold'!$E$7+'4.Cost of Goods-Svcs Sold'!$E$10)&gt;0,K38*('4.Cost of Goods-Svcs Sold'!$E$7+'4.Cost of Goods-Svcs Sold'!$E$10),0)</f>
        <v>0</v>
      </c>
      <c r="L148" s="270">
        <f>IF(L38*('4.Cost of Goods-Svcs Sold'!$E$7+'4.Cost of Goods-Svcs Sold'!$E$10)&gt;0,L38*('4.Cost of Goods-Svcs Sold'!$E$7+'4.Cost of Goods-Svcs Sold'!$E$10),0)</f>
        <v>0</v>
      </c>
      <c r="M148" s="270">
        <f>IF(M38*('4.Cost of Goods-Svcs Sold'!$E$7+'4.Cost of Goods-Svcs Sold'!$E$10)&gt;0,M38*('4.Cost of Goods-Svcs Sold'!$E$7+'4.Cost of Goods-Svcs Sold'!$E$10),0)</f>
        <v>0</v>
      </c>
      <c r="N148" s="270">
        <f>IF(N38*('4.Cost of Goods-Svcs Sold'!$E$7+'4.Cost of Goods-Svcs Sold'!$E$10)&gt;0,N38*('4.Cost of Goods-Svcs Sold'!$E$7+'4.Cost of Goods-Svcs Sold'!$E$10),0)</f>
        <v>0</v>
      </c>
      <c r="O148" s="270">
        <f>IF(O38*('4.Cost of Goods-Svcs Sold'!$E$7+'4.Cost of Goods-Svcs Sold'!$E$10)&gt;0,O38*('4.Cost of Goods-Svcs Sold'!$E$7+'4.Cost of Goods-Svcs Sold'!$E$10),0)</f>
        <v>0</v>
      </c>
      <c r="P148" s="270">
        <f>IF(P38*('4.Cost of Goods-Svcs Sold'!$E$7+'4.Cost of Goods-Svcs Sold'!$E$10)&gt;0,P38*('4.Cost of Goods-Svcs Sold'!$E$7+'4.Cost of Goods-Svcs Sold'!$E$10),0)</f>
        <v>0</v>
      </c>
      <c r="Q148" s="270">
        <f>IF(Q38*('4.Cost of Goods-Svcs Sold'!$E$7+'4.Cost of Goods-Svcs Sold'!$E$10)&gt;0,Q38*('4.Cost of Goods-Svcs Sold'!$E$7+'4.Cost of Goods-Svcs Sold'!$E$10),0)</f>
        <v>0</v>
      </c>
      <c r="R148" s="270">
        <f>IF(R38*('4.Cost of Goods-Svcs Sold'!$E$7+'4.Cost of Goods-Svcs Sold'!$E$10)&gt;0,R38*('4.Cost of Goods-Svcs Sold'!$E$7+'4.Cost of Goods-Svcs Sold'!$E$10),0)</f>
        <v>0</v>
      </c>
      <c r="S148" s="270">
        <f>IF(S38*('4.Cost of Goods-Svcs Sold'!$E$7+'4.Cost of Goods-Svcs Sold'!$E$10)&gt;0,S38*('4.Cost of Goods-Svcs Sold'!$E$7+'4.Cost of Goods-Svcs Sold'!$E$10),0)</f>
        <v>0</v>
      </c>
    </row>
    <row r="150" spans="2:19">
      <c r="B150" s="1" t="str">
        <f>A52</f>
        <v>Product/Service 3</v>
      </c>
      <c r="E150" s="3" t="s">
        <v>376</v>
      </c>
      <c r="H150" s="270">
        <f>IF(H58*('4.Cost of Goods-Svcs Sold'!$H$7+'4.Cost of Goods-Svcs Sold'!$H$10)&gt;0,H58*('4.Cost of Goods-Svcs Sold'!$H$7+'4.Cost of Goods-Svcs Sold'!$H$10),0)</f>
        <v>0</v>
      </c>
      <c r="I150" s="270">
        <f>IF(I58*('4.Cost of Goods-Svcs Sold'!$H$7+'4.Cost of Goods-Svcs Sold'!$H$10)&gt;0,I58*('4.Cost of Goods-Svcs Sold'!$H$7+'4.Cost of Goods-Svcs Sold'!$H$10),0)</f>
        <v>0</v>
      </c>
      <c r="J150" s="270">
        <f>IF(J58*('4.Cost of Goods-Svcs Sold'!$H$7+'4.Cost of Goods-Svcs Sold'!$H$10)&gt;0,J58*('4.Cost of Goods-Svcs Sold'!$H$7+'4.Cost of Goods-Svcs Sold'!$H$10),0)</f>
        <v>0</v>
      </c>
      <c r="K150" s="270">
        <f>IF(K58*('4.Cost of Goods-Svcs Sold'!$H$7+'4.Cost of Goods-Svcs Sold'!$H$10)&gt;0,K58*('4.Cost of Goods-Svcs Sold'!$H$7+'4.Cost of Goods-Svcs Sold'!$H$10),0)</f>
        <v>0</v>
      </c>
      <c r="L150" s="270">
        <f>IF(L58*('4.Cost of Goods-Svcs Sold'!$H$7+'4.Cost of Goods-Svcs Sold'!$H$10)&gt;0,L58*('4.Cost of Goods-Svcs Sold'!$H$7+'4.Cost of Goods-Svcs Sold'!$H$10),0)</f>
        <v>0</v>
      </c>
      <c r="M150" s="270">
        <f>IF(M58*('4.Cost of Goods-Svcs Sold'!$H$7+'4.Cost of Goods-Svcs Sold'!$H$10)&gt;0,M58*('4.Cost of Goods-Svcs Sold'!$H$7+'4.Cost of Goods-Svcs Sold'!$H$10),0)</f>
        <v>0</v>
      </c>
      <c r="N150" s="270">
        <f>IF(N58*('4.Cost of Goods-Svcs Sold'!$H$7+'4.Cost of Goods-Svcs Sold'!$H$10)&gt;0,N58*('4.Cost of Goods-Svcs Sold'!$H$7+'4.Cost of Goods-Svcs Sold'!$H$10),0)</f>
        <v>0</v>
      </c>
      <c r="O150" s="270">
        <f>IF(O58*('4.Cost of Goods-Svcs Sold'!$H$7+'4.Cost of Goods-Svcs Sold'!$H$10)&gt;0,O58*('4.Cost of Goods-Svcs Sold'!$H$7+'4.Cost of Goods-Svcs Sold'!$H$10),0)</f>
        <v>0</v>
      </c>
      <c r="P150" s="270">
        <f>IF(P58*('4.Cost of Goods-Svcs Sold'!$H$7+'4.Cost of Goods-Svcs Sold'!$H$10)&gt;0,P58*('4.Cost of Goods-Svcs Sold'!$H$7+'4.Cost of Goods-Svcs Sold'!$H$10),0)</f>
        <v>0</v>
      </c>
      <c r="Q150" s="270">
        <f>IF(Q58*('4.Cost of Goods-Svcs Sold'!$H$7+'4.Cost of Goods-Svcs Sold'!$H$10)&gt;0,Q58*('4.Cost of Goods-Svcs Sold'!$H$7+'4.Cost of Goods-Svcs Sold'!$H$10),0)</f>
        <v>0</v>
      </c>
      <c r="R150" s="270">
        <f>IF(R58*('4.Cost of Goods-Svcs Sold'!$H$7+'4.Cost of Goods-Svcs Sold'!$H$10)&gt;0,R58*('4.Cost of Goods-Svcs Sold'!$H$7+'4.Cost of Goods-Svcs Sold'!$H$10),0)</f>
        <v>0</v>
      </c>
      <c r="S150" s="270">
        <f>IF(S58*('4.Cost of Goods-Svcs Sold'!$H$7+'4.Cost of Goods-Svcs Sold'!$H$10)&gt;0,S58*('4.Cost of Goods-Svcs Sold'!$H$7+'4.Cost of Goods-Svcs Sold'!$H$10),0)</f>
        <v>0</v>
      </c>
    </row>
    <row r="151" spans="2:19">
      <c r="E151" s="3" t="s">
        <v>377</v>
      </c>
      <c r="H151" s="270">
        <f>IF(H59*('4.Cost of Goods-Svcs Sold'!$H$7+'4.Cost of Goods-Svcs Sold'!$H$10)&gt;0,H59*('4.Cost of Goods-Svcs Sold'!$H$7+'4.Cost of Goods-Svcs Sold'!$H$10),0)</f>
        <v>0</v>
      </c>
      <c r="I151" s="270">
        <f>IF(I59*('4.Cost of Goods-Svcs Sold'!$H$7+'4.Cost of Goods-Svcs Sold'!$H$10)&gt;0,I59*('4.Cost of Goods-Svcs Sold'!$H$7+'4.Cost of Goods-Svcs Sold'!$H$10),0)</f>
        <v>0</v>
      </c>
      <c r="J151" s="270">
        <f>IF(J59*('4.Cost of Goods-Svcs Sold'!$H$7+'4.Cost of Goods-Svcs Sold'!$H$10)&gt;0,J59*('4.Cost of Goods-Svcs Sold'!$H$7+'4.Cost of Goods-Svcs Sold'!$H$10),0)</f>
        <v>0</v>
      </c>
      <c r="K151" s="270">
        <f>IF(K59*('4.Cost of Goods-Svcs Sold'!$H$7+'4.Cost of Goods-Svcs Sold'!$H$10)&gt;0,K59*('4.Cost of Goods-Svcs Sold'!$H$7+'4.Cost of Goods-Svcs Sold'!$H$10),0)</f>
        <v>0</v>
      </c>
      <c r="L151" s="270">
        <f>IF(L59*('4.Cost of Goods-Svcs Sold'!$H$7+'4.Cost of Goods-Svcs Sold'!$H$10)&gt;0,L59*('4.Cost of Goods-Svcs Sold'!$H$7+'4.Cost of Goods-Svcs Sold'!$H$10),0)</f>
        <v>0</v>
      </c>
      <c r="M151" s="270">
        <f>IF(M59*('4.Cost of Goods-Svcs Sold'!$H$7+'4.Cost of Goods-Svcs Sold'!$H$10)&gt;0,M59*('4.Cost of Goods-Svcs Sold'!$H$7+'4.Cost of Goods-Svcs Sold'!$H$10),0)</f>
        <v>0</v>
      </c>
      <c r="N151" s="270">
        <f>IF(N59*('4.Cost of Goods-Svcs Sold'!$H$7+'4.Cost of Goods-Svcs Sold'!$H$10)&gt;0,N59*('4.Cost of Goods-Svcs Sold'!$H$7+'4.Cost of Goods-Svcs Sold'!$H$10),0)</f>
        <v>0</v>
      </c>
      <c r="O151" s="270">
        <f>IF(O59*('4.Cost of Goods-Svcs Sold'!$H$7+'4.Cost of Goods-Svcs Sold'!$H$10)&gt;0,O59*('4.Cost of Goods-Svcs Sold'!$H$7+'4.Cost of Goods-Svcs Sold'!$H$10),0)</f>
        <v>0</v>
      </c>
      <c r="P151" s="270">
        <f>IF(P59*('4.Cost of Goods-Svcs Sold'!$H$7+'4.Cost of Goods-Svcs Sold'!$H$10)&gt;0,P59*('4.Cost of Goods-Svcs Sold'!$H$7+'4.Cost of Goods-Svcs Sold'!$H$10),0)</f>
        <v>0</v>
      </c>
      <c r="Q151" s="270">
        <f>IF(Q59*('4.Cost of Goods-Svcs Sold'!$H$7+'4.Cost of Goods-Svcs Sold'!$H$10)&gt;0,Q59*('4.Cost of Goods-Svcs Sold'!$H$7+'4.Cost of Goods-Svcs Sold'!$H$10),0)</f>
        <v>0</v>
      </c>
      <c r="R151" s="270">
        <f>IF(R59*('4.Cost of Goods-Svcs Sold'!$H$7+'4.Cost of Goods-Svcs Sold'!$H$10)&gt;0,R59*('4.Cost of Goods-Svcs Sold'!$H$7+'4.Cost of Goods-Svcs Sold'!$H$10),0)</f>
        <v>0</v>
      </c>
      <c r="S151" s="270">
        <f>IF(S59*('4.Cost of Goods-Svcs Sold'!$H$7+'4.Cost of Goods-Svcs Sold'!$H$10)&gt;0,S59*('4.Cost of Goods-Svcs Sold'!$H$7+'4.Cost of Goods-Svcs Sold'!$H$10),0)</f>
        <v>0</v>
      </c>
    </row>
    <row r="152" spans="2:19">
      <c r="E152" s="3" t="s">
        <v>378</v>
      </c>
      <c r="H152" s="270">
        <f>IF(H60*('4.Cost of Goods-Svcs Sold'!$H$7+'4.Cost of Goods-Svcs Sold'!$H$10)&gt;0,H60*('4.Cost of Goods-Svcs Sold'!$H$7+'4.Cost of Goods-Svcs Sold'!$H$10),0)</f>
        <v>0</v>
      </c>
      <c r="I152" s="270">
        <f>IF(I60*('4.Cost of Goods-Svcs Sold'!$H$7+'4.Cost of Goods-Svcs Sold'!$H$10)&gt;0,I60*('4.Cost of Goods-Svcs Sold'!$H$7+'4.Cost of Goods-Svcs Sold'!$H$10),0)</f>
        <v>0</v>
      </c>
      <c r="J152" s="270">
        <f>IF(J60*('4.Cost of Goods-Svcs Sold'!$H$7+'4.Cost of Goods-Svcs Sold'!$H$10)&gt;0,J60*('4.Cost of Goods-Svcs Sold'!$H$7+'4.Cost of Goods-Svcs Sold'!$H$10),0)</f>
        <v>0</v>
      </c>
      <c r="K152" s="270">
        <f>IF(K60*('4.Cost of Goods-Svcs Sold'!$H$7+'4.Cost of Goods-Svcs Sold'!$H$10)&gt;0,K60*('4.Cost of Goods-Svcs Sold'!$H$7+'4.Cost of Goods-Svcs Sold'!$H$10),0)</f>
        <v>0</v>
      </c>
      <c r="L152" s="270">
        <f>IF(L60*('4.Cost of Goods-Svcs Sold'!$H$7+'4.Cost of Goods-Svcs Sold'!$H$10)&gt;0,L60*('4.Cost of Goods-Svcs Sold'!$H$7+'4.Cost of Goods-Svcs Sold'!$H$10),0)</f>
        <v>0</v>
      </c>
      <c r="M152" s="270">
        <f>IF(M60*('4.Cost of Goods-Svcs Sold'!$H$7+'4.Cost of Goods-Svcs Sold'!$H$10)&gt;0,M60*('4.Cost of Goods-Svcs Sold'!$H$7+'4.Cost of Goods-Svcs Sold'!$H$10),0)</f>
        <v>0</v>
      </c>
      <c r="N152" s="270">
        <f>IF(N60*('4.Cost of Goods-Svcs Sold'!$H$7+'4.Cost of Goods-Svcs Sold'!$H$10)&gt;0,N60*('4.Cost of Goods-Svcs Sold'!$H$7+'4.Cost of Goods-Svcs Sold'!$H$10),0)</f>
        <v>0</v>
      </c>
      <c r="O152" s="270">
        <f>IF(O60*('4.Cost of Goods-Svcs Sold'!$H$7+'4.Cost of Goods-Svcs Sold'!$H$10)&gt;0,O60*('4.Cost of Goods-Svcs Sold'!$H$7+'4.Cost of Goods-Svcs Sold'!$H$10),0)</f>
        <v>0</v>
      </c>
      <c r="P152" s="270">
        <f>IF(P60*('4.Cost of Goods-Svcs Sold'!$H$7+'4.Cost of Goods-Svcs Sold'!$H$10)&gt;0,P60*('4.Cost of Goods-Svcs Sold'!$H$7+'4.Cost of Goods-Svcs Sold'!$H$10),0)</f>
        <v>0</v>
      </c>
      <c r="Q152" s="270">
        <f>IF(Q60*('4.Cost of Goods-Svcs Sold'!$H$7+'4.Cost of Goods-Svcs Sold'!$H$10)&gt;0,Q60*('4.Cost of Goods-Svcs Sold'!$H$7+'4.Cost of Goods-Svcs Sold'!$H$10),0)</f>
        <v>0</v>
      </c>
      <c r="R152" s="270">
        <f>IF(R60*('4.Cost of Goods-Svcs Sold'!$H$7+'4.Cost of Goods-Svcs Sold'!$H$10)&gt;0,R60*('4.Cost of Goods-Svcs Sold'!$H$7+'4.Cost of Goods-Svcs Sold'!$H$10),0)</f>
        <v>0</v>
      </c>
      <c r="S152" s="270">
        <f>IF(S60*('4.Cost of Goods-Svcs Sold'!$H$7+'4.Cost of Goods-Svcs Sold'!$H$10)&gt;0,S60*('4.Cost of Goods-Svcs Sold'!$H$7+'4.Cost of Goods-Svcs Sold'!$H$10),0)</f>
        <v>0</v>
      </c>
    </row>
    <row r="154" spans="2:19">
      <c r="B154" s="1" t="str">
        <f>+A74</f>
        <v>Product/Service 4</v>
      </c>
      <c r="E154" s="3" t="s">
        <v>376</v>
      </c>
      <c r="H154" s="270">
        <f>IF(H80*('4.Cost of Goods-Svcs Sold'!$K$7+'4.Cost of Goods-Svcs Sold'!$K$10)&gt;0,H80*('4.Cost of Goods-Svcs Sold'!$K$7+'4.Cost of Goods-Svcs Sold'!$K$10),0)</f>
        <v>0</v>
      </c>
      <c r="I154" s="270">
        <f>IF(I80*('4.Cost of Goods-Svcs Sold'!$K$7+'4.Cost of Goods-Svcs Sold'!$K$10)&gt;0,I80*('4.Cost of Goods-Svcs Sold'!$K$7+'4.Cost of Goods-Svcs Sold'!$K$10),0)</f>
        <v>0</v>
      </c>
      <c r="J154" s="270">
        <f>IF(J80*('4.Cost of Goods-Svcs Sold'!$K$7+'4.Cost of Goods-Svcs Sold'!$K$10)&gt;0,J80*('4.Cost of Goods-Svcs Sold'!$K$7+'4.Cost of Goods-Svcs Sold'!$K$10),0)</f>
        <v>0</v>
      </c>
      <c r="K154" s="270">
        <f>IF(K80*('4.Cost of Goods-Svcs Sold'!$K$7+'4.Cost of Goods-Svcs Sold'!$K$10)&gt;0,K80*('4.Cost of Goods-Svcs Sold'!$K$7+'4.Cost of Goods-Svcs Sold'!$K$10),0)</f>
        <v>0</v>
      </c>
      <c r="L154" s="270">
        <f>IF(L80*('4.Cost of Goods-Svcs Sold'!$K$7+'4.Cost of Goods-Svcs Sold'!$K$10)&gt;0,L80*('4.Cost of Goods-Svcs Sold'!$K$7+'4.Cost of Goods-Svcs Sold'!$K$10),0)</f>
        <v>0</v>
      </c>
      <c r="M154" s="270">
        <f>IF(M80*('4.Cost of Goods-Svcs Sold'!$K$7+'4.Cost of Goods-Svcs Sold'!$K$10)&gt;0,M80*('4.Cost of Goods-Svcs Sold'!$K$7+'4.Cost of Goods-Svcs Sold'!$K$10),0)</f>
        <v>0</v>
      </c>
      <c r="N154" s="270">
        <f>IF(N80*('4.Cost of Goods-Svcs Sold'!$K$7+'4.Cost of Goods-Svcs Sold'!$K$10)&gt;0,N80*('4.Cost of Goods-Svcs Sold'!$K$7+'4.Cost of Goods-Svcs Sold'!$K$10),0)</f>
        <v>0</v>
      </c>
      <c r="O154" s="270">
        <f>IF(O80*('4.Cost of Goods-Svcs Sold'!$K$7+'4.Cost of Goods-Svcs Sold'!$K$10)&gt;0,O80*('4.Cost of Goods-Svcs Sold'!$K$7+'4.Cost of Goods-Svcs Sold'!$K$10),0)</f>
        <v>0</v>
      </c>
      <c r="P154" s="270">
        <f>IF(P80*('4.Cost of Goods-Svcs Sold'!$K$7+'4.Cost of Goods-Svcs Sold'!$K$10)&gt;0,P80*('4.Cost of Goods-Svcs Sold'!$K$7+'4.Cost of Goods-Svcs Sold'!$K$10),0)</f>
        <v>0</v>
      </c>
      <c r="Q154" s="270">
        <f>IF(Q80*('4.Cost of Goods-Svcs Sold'!$K$7+'4.Cost of Goods-Svcs Sold'!$K$10)&gt;0,Q80*('4.Cost of Goods-Svcs Sold'!$K$7+'4.Cost of Goods-Svcs Sold'!$K$10),0)</f>
        <v>0</v>
      </c>
      <c r="R154" s="270">
        <f>IF(R80*('4.Cost of Goods-Svcs Sold'!$K$7+'4.Cost of Goods-Svcs Sold'!$K$10)&gt;0,R80*('4.Cost of Goods-Svcs Sold'!$K$7+'4.Cost of Goods-Svcs Sold'!$K$10),0)</f>
        <v>0</v>
      </c>
      <c r="S154" s="270">
        <f>IF(S80*('4.Cost of Goods-Svcs Sold'!$K$7+'4.Cost of Goods-Svcs Sold'!$K$10)&gt;0,S80*('4.Cost of Goods-Svcs Sold'!$K$7+'4.Cost of Goods-Svcs Sold'!$K$10),0)</f>
        <v>0</v>
      </c>
    </row>
    <row r="155" spans="2:19">
      <c r="E155" s="3" t="s">
        <v>377</v>
      </c>
      <c r="H155" s="270">
        <f>IF(H81*('4.Cost of Goods-Svcs Sold'!$K$7+'4.Cost of Goods-Svcs Sold'!$K$10)&gt;0,H81*('4.Cost of Goods-Svcs Sold'!$K$7+'4.Cost of Goods-Svcs Sold'!$K$10),0)</f>
        <v>0</v>
      </c>
      <c r="I155" s="270">
        <f>IF(I81*('4.Cost of Goods-Svcs Sold'!$K$7+'4.Cost of Goods-Svcs Sold'!$K$10)&gt;0,I81*('4.Cost of Goods-Svcs Sold'!$K$7+'4.Cost of Goods-Svcs Sold'!$K$10),0)</f>
        <v>0</v>
      </c>
      <c r="J155" s="270">
        <f>IF(J81*('4.Cost of Goods-Svcs Sold'!$K$7+'4.Cost of Goods-Svcs Sold'!$K$10)&gt;0,J81*('4.Cost of Goods-Svcs Sold'!$K$7+'4.Cost of Goods-Svcs Sold'!$K$10),0)</f>
        <v>0</v>
      </c>
      <c r="K155" s="270">
        <f>IF(K81*('4.Cost of Goods-Svcs Sold'!$K$7+'4.Cost of Goods-Svcs Sold'!$K$10)&gt;0,K81*('4.Cost of Goods-Svcs Sold'!$K$7+'4.Cost of Goods-Svcs Sold'!$K$10),0)</f>
        <v>0</v>
      </c>
      <c r="L155" s="270">
        <f>IF(L81*('4.Cost of Goods-Svcs Sold'!$K$7+'4.Cost of Goods-Svcs Sold'!$K$10)&gt;0,L81*('4.Cost of Goods-Svcs Sold'!$K$7+'4.Cost of Goods-Svcs Sold'!$K$10),0)</f>
        <v>0</v>
      </c>
      <c r="M155" s="270">
        <f>IF(M81*('4.Cost of Goods-Svcs Sold'!$K$7+'4.Cost of Goods-Svcs Sold'!$K$10)&gt;0,M81*('4.Cost of Goods-Svcs Sold'!$K$7+'4.Cost of Goods-Svcs Sold'!$K$10),0)</f>
        <v>0</v>
      </c>
      <c r="N155" s="270">
        <f>IF(N81*('4.Cost of Goods-Svcs Sold'!$K$7+'4.Cost of Goods-Svcs Sold'!$K$10)&gt;0,N81*('4.Cost of Goods-Svcs Sold'!$K$7+'4.Cost of Goods-Svcs Sold'!$K$10),0)</f>
        <v>0</v>
      </c>
      <c r="O155" s="270">
        <f>IF(O81*('4.Cost of Goods-Svcs Sold'!$K$7+'4.Cost of Goods-Svcs Sold'!$K$10)&gt;0,O81*('4.Cost of Goods-Svcs Sold'!$K$7+'4.Cost of Goods-Svcs Sold'!$K$10),0)</f>
        <v>0</v>
      </c>
      <c r="P155" s="270">
        <f>IF(P81*('4.Cost of Goods-Svcs Sold'!$K$7+'4.Cost of Goods-Svcs Sold'!$K$10)&gt;0,P81*('4.Cost of Goods-Svcs Sold'!$K$7+'4.Cost of Goods-Svcs Sold'!$K$10),0)</f>
        <v>0</v>
      </c>
      <c r="Q155" s="270">
        <f>IF(Q81*('4.Cost of Goods-Svcs Sold'!$K$7+'4.Cost of Goods-Svcs Sold'!$K$10)&gt;0,Q81*('4.Cost of Goods-Svcs Sold'!$K$7+'4.Cost of Goods-Svcs Sold'!$K$10),0)</f>
        <v>0</v>
      </c>
      <c r="R155" s="270">
        <f>IF(R81*('4.Cost of Goods-Svcs Sold'!$K$7+'4.Cost of Goods-Svcs Sold'!$K$10)&gt;0,R81*('4.Cost of Goods-Svcs Sold'!$K$7+'4.Cost of Goods-Svcs Sold'!$K$10),0)</f>
        <v>0</v>
      </c>
      <c r="S155" s="270">
        <f>IF(S81*('4.Cost of Goods-Svcs Sold'!$K$7+'4.Cost of Goods-Svcs Sold'!$K$10)&gt;0,S81*('4.Cost of Goods-Svcs Sold'!$K$7+'4.Cost of Goods-Svcs Sold'!$K$10),0)</f>
        <v>0</v>
      </c>
    </row>
    <row r="156" spans="2:19">
      <c r="E156" s="3" t="s">
        <v>378</v>
      </c>
      <c r="H156" s="270">
        <f>IF(H82*('4.Cost of Goods-Svcs Sold'!$K$7+'4.Cost of Goods-Svcs Sold'!$K$10)&gt;0,H82*('4.Cost of Goods-Svcs Sold'!$K$7+'4.Cost of Goods-Svcs Sold'!$K$10),0)</f>
        <v>0</v>
      </c>
      <c r="I156" s="270">
        <f>IF(I82*('4.Cost of Goods-Svcs Sold'!$K$7+'4.Cost of Goods-Svcs Sold'!$K$10)&gt;0,I82*('4.Cost of Goods-Svcs Sold'!$K$7+'4.Cost of Goods-Svcs Sold'!$K$10),0)</f>
        <v>0</v>
      </c>
      <c r="J156" s="270">
        <f>IF(J82*('4.Cost of Goods-Svcs Sold'!$K$7+'4.Cost of Goods-Svcs Sold'!$K$10)&gt;0,J82*('4.Cost of Goods-Svcs Sold'!$K$7+'4.Cost of Goods-Svcs Sold'!$K$10),0)</f>
        <v>0</v>
      </c>
      <c r="K156" s="270">
        <f>IF(K82*('4.Cost of Goods-Svcs Sold'!$K$7+'4.Cost of Goods-Svcs Sold'!$K$10)&gt;0,K82*('4.Cost of Goods-Svcs Sold'!$K$7+'4.Cost of Goods-Svcs Sold'!$K$10),0)</f>
        <v>0</v>
      </c>
      <c r="L156" s="270">
        <f>IF(L82*('4.Cost of Goods-Svcs Sold'!$K$7+'4.Cost of Goods-Svcs Sold'!$K$10)&gt;0,L82*('4.Cost of Goods-Svcs Sold'!$K$7+'4.Cost of Goods-Svcs Sold'!$K$10),0)</f>
        <v>0</v>
      </c>
      <c r="M156" s="270">
        <f>IF(M82*('4.Cost of Goods-Svcs Sold'!$K$7+'4.Cost of Goods-Svcs Sold'!$K$10)&gt;0,M82*('4.Cost of Goods-Svcs Sold'!$K$7+'4.Cost of Goods-Svcs Sold'!$K$10),0)</f>
        <v>0</v>
      </c>
      <c r="N156" s="270">
        <f>IF(N82*('4.Cost of Goods-Svcs Sold'!$K$7+'4.Cost of Goods-Svcs Sold'!$K$10)&gt;0,N82*('4.Cost of Goods-Svcs Sold'!$K$7+'4.Cost of Goods-Svcs Sold'!$K$10),0)</f>
        <v>0</v>
      </c>
      <c r="O156" s="270">
        <f>IF(O82*('4.Cost of Goods-Svcs Sold'!$K$7+'4.Cost of Goods-Svcs Sold'!$K$10)&gt;0,O82*('4.Cost of Goods-Svcs Sold'!$K$7+'4.Cost of Goods-Svcs Sold'!$K$10),0)</f>
        <v>0</v>
      </c>
      <c r="P156" s="270">
        <f>IF(P82*('4.Cost of Goods-Svcs Sold'!$K$7+'4.Cost of Goods-Svcs Sold'!$K$10)&gt;0,P82*('4.Cost of Goods-Svcs Sold'!$K$7+'4.Cost of Goods-Svcs Sold'!$K$10),0)</f>
        <v>0</v>
      </c>
      <c r="Q156" s="270">
        <f>IF(Q82*('4.Cost of Goods-Svcs Sold'!$K$7+'4.Cost of Goods-Svcs Sold'!$K$10)&gt;0,Q82*('4.Cost of Goods-Svcs Sold'!$K$7+'4.Cost of Goods-Svcs Sold'!$K$10),0)</f>
        <v>0</v>
      </c>
      <c r="R156" s="270">
        <f>IF(R82*('4.Cost of Goods-Svcs Sold'!$K$7+'4.Cost of Goods-Svcs Sold'!$K$10)&gt;0,R82*('4.Cost of Goods-Svcs Sold'!$K$7+'4.Cost of Goods-Svcs Sold'!$K$10),0)</f>
        <v>0</v>
      </c>
      <c r="S156" s="270">
        <f>IF(S82*('4.Cost of Goods-Svcs Sold'!$K$7+'4.Cost of Goods-Svcs Sold'!$K$10)&gt;0,S82*('4.Cost of Goods-Svcs Sold'!$K$7+'4.Cost of Goods-Svcs Sold'!$K$10),0)</f>
        <v>0</v>
      </c>
    </row>
    <row r="158" spans="2:19">
      <c r="B158" s="1" t="str">
        <f>+A96</f>
        <v>Product/Service 5</v>
      </c>
      <c r="E158" s="3" t="s">
        <v>376</v>
      </c>
      <c r="H158" s="270">
        <f>IF(H102*('4.Cost of Goods-Svcs Sold'!$B$17+'4.Cost of Goods-Svcs Sold'!$B$20)&gt;0,H102*('4.Cost of Goods-Svcs Sold'!$B$17+'4.Cost of Goods-Svcs Sold'!$B$20),0)</f>
        <v>0</v>
      </c>
      <c r="I158" s="270">
        <f>IF(I102*('4.Cost of Goods-Svcs Sold'!$B$17+'4.Cost of Goods-Svcs Sold'!$B$20)&gt;0,I102*('4.Cost of Goods-Svcs Sold'!$B$17+'4.Cost of Goods-Svcs Sold'!$B$20),0)</f>
        <v>0</v>
      </c>
      <c r="J158" s="270">
        <f>IF(J102*('4.Cost of Goods-Svcs Sold'!$B$17+'4.Cost of Goods-Svcs Sold'!$B$20)&gt;0,J102*('4.Cost of Goods-Svcs Sold'!$B$17+'4.Cost of Goods-Svcs Sold'!$B$20),0)</f>
        <v>0</v>
      </c>
      <c r="K158" s="270">
        <f>IF(K102*('4.Cost of Goods-Svcs Sold'!$B$17+'4.Cost of Goods-Svcs Sold'!$B$20)&gt;0,K102*('4.Cost of Goods-Svcs Sold'!$B$17+'4.Cost of Goods-Svcs Sold'!$B$20),0)</f>
        <v>0</v>
      </c>
      <c r="L158" s="270">
        <f>IF(L102*('4.Cost of Goods-Svcs Sold'!$B$17+'4.Cost of Goods-Svcs Sold'!$B$20)&gt;0,L102*('4.Cost of Goods-Svcs Sold'!$B$17+'4.Cost of Goods-Svcs Sold'!$B$20),0)</f>
        <v>0</v>
      </c>
      <c r="M158" s="270">
        <f>IF(M102*('4.Cost of Goods-Svcs Sold'!$B$17+'4.Cost of Goods-Svcs Sold'!$B$20)&gt;0,M102*('4.Cost of Goods-Svcs Sold'!$B$17+'4.Cost of Goods-Svcs Sold'!$B$20),0)</f>
        <v>0</v>
      </c>
      <c r="N158" s="270">
        <f>IF(N102*('4.Cost of Goods-Svcs Sold'!$B$17+'4.Cost of Goods-Svcs Sold'!$B$20)&gt;0,N102*('4.Cost of Goods-Svcs Sold'!$B$17+'4.Cost of Goods-Svcs Sold'!$B$20),0)</f>
        <v>0</v>
      </c>
      <c r="O158" s="270">
        <f>IF(O102*('4.Cost of Goods-Svcs Sold'!$B$17+'4.Cost of Goods-Svcs Sold'!$B$20)&gt;0,O102*('4.Cost of Goods-Svcs Sold'!$B$17+'4.Cost of Goods-Svcs Sold'!$B$20),0)</f>
        <v>0</v>
      </c>
      <c r="P158" s="270">
        <f>IF(P102*('4.Cost of Goods-Svcs Sold'!$B$17+'4.Cost of Goods-Svcs Sold'!$B$20)&gt;0,P102*('4.Cost of Goods-Svcs Sold'!$B$17+'4.Cost of Goods-Svcs Sold'!$B$20),0)</f>
        <v>0</v>
      </c>
      <c r="Q158" s="270">
        <f>IF(Q102*('4.Cost of Goods-Svcs Sold'!$B$17+'4.Cost of Goods-Svcs Sold'!$B$20)&gt;0,Q102*('4.Cost of Goods-Svcs Sold'!$B$17+'4.Cost of Goods-Svcs Sold'!$B$20),0)</f>
        <v>0</v>
      </c>
      <c r="R158" s="270">
        <f>IF(R102*('4.Cost of Goods-Svcs Sold'!$B$17+'4.Cost of Goods-Svcs Sold'!$B$20)&gt;0,R102*('4.Cost of Goods-Svcs Sold'!$B$17+'4.Cost of Goods-Svcs Sold'!$B$20),0)</f>
        <v>0</v>
      </c>
      <c r="S158" s="270">
        <f>IF(S102*('4.Cost of Goods-Svcs Sold'!$B$17+'4.Cost of Goods-Svcs Sold'!$B$20)&gt;0,S102*('4.Cost of Goods-Svcs Sold'!$B$17+'4.Cost of Goods-Svcs Sold'!$B$20),0)</f>
        <v>0</v>
      </c>
    </row>
    <row r="159" spans="2:19">
      <c r="E159" s="3" t="s">
        <v>377</v>
      </c>
      <c r="H159" s="270">
        <f>IF(H103*('4.Cost of Goods-Svcs Sold'!$B$17+'4.Cost of Goods-Svcs Sold'!$B$20)&gt;0,H103*('4.Cost of Goods-Svcs Sold'!$B$17+'4.Cost of Goods-Svcs Sold'!$B$20),0)</f>
        <v>0</v>
      </c>
      <c r="I159" s="270">
        <f>IF(I103*('4.Cost of Goods-Svcs Sold'!$B$17+'4.Cost of Goods-Svcs Sold'!$B$20)&gt;0,I103*('4.Cost of Goods-Svcs Sold'!$B$17+'4.Cost of Goods-Svcs Sold'!$B$20),0)</f>
        <v>0</v>
      </c>
      <c r="J159" s="270">
        <f>IF(J103*('4.Cost of Goods-Svcs Sold'!$B$17+'4.Cost of Goods-Svcs Sold'!$B$20)&gt;0,J103*('4.Cost of Goods-Svcs Sold'!$B$17+'4.Cost of Goods-Svcs Sold'!$B$20),0)</f>
        <v>0</v>
      </c>
      <c r="K159" s="270">
        <f>IF(K103*('4.Cost of Goods-Svcs Sold'!$B$17+'4.Cost of Goods-Svcs Sold'!$B$20)&gt;0,K103*('4.Cost of Goods-Svcs Sold'!$B$17+'4.Cost of Goods-Svcs Sold'!$B$20),0)</f>
        <v>0</v>
      </c>
      <c r="L159" s="270">
        <f>IF(L103*('4.Cost of Goods-Svcs Sold'!$B$17+'4.Cost of Goods-Svcs Sold'!$B$20)&gt;0,L103*('4.Cost of Goods-Svcs Sold'!$B$17+'4.Cost of Goods-Svcs Sold'!$B$20),0)</f>
        <v>0</v>
      </c>
      <c r="M159" s="270">
        <f>IF(M103*('4.Cost of Goods-Svcs Sold'!$B$17+'4.Cost of Goods-Svcs Sold'!$B$20)&gt;0,M103*('4.Cost of Goods-Svcs Sold'!$B$17+'4.Cost of Goods-Svcs Sold'!$B$20),0)</f>
        <v>0</v>
      </c>
      <c r="N159" s="270">
        <f>IF(N103*('4.Cost of Goods-Svcs Sold'!$B$17+'4.Cost of Goods-Svcs Sold'!$B$20)&gt;0,N103*('4.Cost of Goods-Svcs Sold'!$B$17+'4.Cost of Goods-Svcs Sold'!$B$20),0)</f>
        <v>0</v>
      </c>
      <c r="O159" s="270">
        <f>IF(O103*('4.Cost of Goods-Svcs Sold'!$B$17+'4.Cost of Goods-Svcs Sold'!$B$20)&gt;0,O103*('4.Cost of Goods-Svcs Sold'!$B$17+'4.Cost of Goods-Svcs Sold'!$B$20),0)</f>
        <v>0</v>
      </c>
      <c r="P159" s="270">
        <f>IF(P103*('4.Cost of Goods-Svcs Sold'!$B$17+'4.Cost of Goods-Svcs Sold'!$B$20)&gt;0,P103*('4.Cost of Goods-Svcs Sold'!$B$17+'4.Cost of Goods-Svcs Sold'!$B$20),0)</f>
        <v>0</v>
      </c>
      <c r="Q159" s="270">
        <f>IF(Q103*('4.Cost of Goods-Svcs Sold'!$B$17+'4.Cost of Goods-Svcs Sold'!$B$20)&gt;0,Q103*('4.Cost of Goods-Svcs Sold'!$B$17+'4.Cost of Goods-Svcs Sold'!$B$20),0)</f>
        <v>0</v>
      </c>
      <c r="R159" s="270">
        <f>IF(R103*('4.Cost of Goods-Svcs Sold'!$B$17+'4.Cost of Goods-Svcs Sold'!$B$20)&gt;0,R103*('4.Cost of Goods-Svcs Sold'!$B$17+'4.Cost of Goods-Svcs Sold'!$B$20),0)</f>
        <v>0</v>
      </c>
      <c r="S159" s="270">
        <f>IF(S103*('4.Cost of Goods-Svcs Sold'!$B$17+'4.Cost of Goods-Svcs Sold'!$B$20)&gt;0,S103*('4.Cost of Goods-Svcs Sold'!$B$17+'4.Cost of Goods-Svcs Sold'!$B$20),0)</f>
        <v>0</v>
      </c>
    </row>
    <row r="160" spans="2:19">
      <c r="E160" s="3" t="s">
        <v>378</v>
      </c>
      <c r="H160" s="270">
        <f>IF(H104*('4.Cost of Goods-Svcs Sold'!$B$17+'4.Cost of Goods-Svcs Sold'!$B$20)&gt;0,H104*('4.Cost of Goods-Svcs Sold'!$B$17+'4.Cost of Goods-Svcs Sold'!$B$20),0)</f>
        <v>0</v>
      </c>
      <c r="I160" s="270">
        <f>IF(I104*('4.Cost of Goods-Svcs Sold'!$B$17+'4.Cost of Goods-Svcs Sold'!$B$20)&gt;0,I104*('4.Cost of Goods-Svcs Sold'!$B$17+'4.Cost of Goods-Svcs Sold'!$B$20),0)</f>
        <v>0</v>
      </c>
      <c r="J160" s="270">
        <f>IF(J104*('4.Cost of Goods-Svcs Sold'!$B$17+'4.Cost of Goods-Svcs Sold'!$B$20)&gt;0,J104*('4.Cost of Goods-Svcs Sold'!$B$17+'4.Cost of Goods-Svcs Sold'!$B$20),0)</f>
        <v>0</v>
      </c>
      <c r="K160" s="270">
        <f>IF(K104*('4.Cost of Goods-Svcs Sold'!$B$17+'4.Cost of Goods-Svcs Sold'!$B$20)&gt;0,K104*('4.Cost of Goods-Svcs Sold'!$B$17+'4.Cost of Goods-Svcs Sold'!$B$20),0)</f>
        <v>0</v>
      </c>
      <c r="L160" s="270">
        <f>IF(L104*('4.Cost of Goods-Svcs Sold'!$B$17+'4.Cost of Goods-Svcs Sold'!$B$20)&gt;0,L104*('4.Cost of Goods-Svcs Sold'!$B$17+'4.Cost of Goods-Svcs Sold'!$B$20),0)</f>
        <v>0</v>
      </c>
      <c r="M160" s="270">
        <f>IF(M104*('4.Cost of Goods-Svcs Sold'!$B$17+'4.Cost of Goods-Svcs Sold'!$B$20)&gt;0,M104*('4.Cost of Goods-Svcs Sold'!$B$17+'4.Cost of Goods-Svcs Sold'!$B$20),0)</f>
        <v>0</v>
      </c>
      <c r="N160" s="270">
        <f>IF(N104*('4.Cost of Goods-Svcs Sold'!$B$17+'4.Cost of Goods-Svcs Sold'!$B$20)&gt;0,N104*('4.Cost of Goods-Svcs Sold'!$B$17+'4.Cost of Goods-Svcs Sold'!$B$20),0)</f>
        <v>0</v>
      </c>
      <c r="O160" s="270">
        <f>IF(O104*('4.Cost of Goods-Svcs Sold'!$B$17+'4.Cost of Goods-Svcs Sold'!$B$20)&gt;0,O104*('4.Cost of Goods-Svcs Sold'!$B$17+'4.Cost of Goods-Svcs Sold'!$B$20),0)</f>
        <v>0</v>
      </c>
      <c r="P160" s="270">
        <f>IF(P104*('4.Cost of Goods-Svcs Sold'!$B$17+'4.Cost of Goods-Svcs Sold'!$B$20)&gt;0,P104*('4.Cost of Goods-Svcs Sold'!$B$17+'4.Cost of Goods-Svcs Sold'!$B$20),0)</f>
        <v>0</v>
      </c>
      <c r="Q160" s="270">
        <f>IF(Q104*('4.Cost of Goods-Svcs Sold'!$B$17+'4.Cost of Goods-Svcs Sold'!$B$20)&gt;0,Q104*('4.Cost of Goods-Svcs Sold'!$B$17+'4.Cost of Goods-Svcs Sold'!$B$20),0)</f>
        <v>0</v>
      </c>
      <c r="R160" s="270">
        <f>IF(R104*('4.Cost of Goods-Svcs Sold'!$B$17+'4.Cost of Goods-Svcs Sold'!$B$20)&gt;0,R104*('4.Cost of Goods-Svcs Sold'!$B$17+'4.Cost of Goods-Svcs Sold'!$B$20),0)</f>
        <v>0</v>
      </c>
      <c r="S160" s="270">
        <f>IF(S104*('4.Cost of Goods-Svcs Sold'!$B$17+'4.Cost of Goods-Svcs Sold'!$B$20)&gt;0,S104*('4.Cost of Goods-Svcs Sold'!$B$17+'4.Cost of Goods-Svcs Sold'!$B$20),0)</f>
        <v>0</v>
      </c>
    </row>
    <row r="162" spans="2:19">
      <c r="B162" s="1" t="str">
        <f>+A118</f>
        <v>Product/Service 6</v>
      </c>
      <c r="E162" s="3" t="s">
        <v>376</v>
      </c>
      <c r="H162" s="270">
        <f>IF(H124*('4.Cost of Goods-Svcs Sold'!$E$17+'4.Cost of Goods-Svcs Sold'!$E$20)&gt;0,H124*('4.Cost of Goods-Svcs Sold'!$E$17+'4.Cost of Goods-Svcs Sold'!$E$20),0)</f>
        <v>0</v>
      </c>
      <c r="I162" s="270">
        <f>IF(I124*('4.Cost of Goods-Svcs Sold'!$E$17+'4.Cost of Goods-Svcs Sold'!$E$20)&gt;0,I124*('4.Cost of Goods-Svcs Sold'!$E$17+'4.Cost of Goods-Svcs Sold'!$E$20),0)</f>
        <v>0</v>
      </c>
      <c r="J162" s="270">
        <f>IF(J124*('4.Cost of Goods-Svcs Sold'!$E$17+'4.Cost of Goods-Svcs Sold'!$E$20)&gt;0,J124*('4.Cost of Goods-Svcs Sold'!$E$17+'4.Cost of Goods-Svcs Sold'!$E$20),0)</f>
        <v>0</v>
      </c>
      <c r="K162" s="270">
        <f>IF(K124*('4.Cost of Goods-Svcs Sold'!$E$17+'4.Cost of Goods-Svcs Sold'!$E$20)&gt;0,K124*('4.Cost of Goods-Svcs Sold'!$E$17+'4.Cost of Goods-Svcs Sold'!$E$20),0)</f>
        <v>0</v>
      </c>
      <c r="L162" s="270">
        <f>IF(L124*('4.Cost of Goods-Svcs Sold'!$E$17+'4.Cost of Goods-Svcs Sold'!$E$20)&gt;0,L124*('4.Cost of Goods-Svcs Sold'!$E$17+'4.Cost of Goods-Svcs Sold'!$E$20),0)</f>
        <v>0</v>
      </c>
      <c r="M162" s="270">
        <f>IF(M124*('4.Cost of Goods-Svcs Sold'!$E$17+'4.Cost of Goods-Svcs Sold'!$E$20)&gt;0,M124*('4.Cost of Goods-Svcs Sold'!$E$17+'4.Cost of Goods-Svcs Sold'!$E$20),0)</f>
        <v>0</v>
      </c>
      <c r="N162" s="270">
        <f>IF(N124*('4.Cost of Goods-Svcs Sold'!$E$17+'4.Cost of Goods-Svcs Sold'!$E$20)&gt;0,N124*('4.Cost of Goods-Svcs Sold'!$E$17+'4.Cost of Goods-Svcs Sold'!$E$20),0)</f>
        <v>0</v>
      </c>
      <c r="O162" s="270">
        <f>IF(O124*('4.Cost of Goods-Svcs Sold'!$E$17+'4.Cost of Goods-Svcs Sold'!$E$20)&gt;0,O124*('4.Cost of Goods-Svcs Sold'!$E$17+'4.Cost of Goods-Svcs Sold'!$E$20),0)</f>
        <v>0</v>
      </c>
      <c r="P162" s="270">
        <f>IF(P124*('4.Cost of Goods-Svcs Sold'!$E$17+'4.Cost of Goods-Svcs Sold'!$E$20)&gt;0,P124*('4.Cost of Goods-Svcs Sold'!$E$17+'4.Cost of Goods-Svcs Sold'!$E$20),0)</f>
        <v>0</v>
      </c>
      <c r="Q162" s="270">
        <f>IF(Q124*('4.Cost of Goods-Svcs Sold'!$E$17+'4.Cost of Goods-Svcs Sold'!$E$20)&gt;0,Q124*('4.Cost of Goods-Svcs Sold'!$E$17+'4.Cost of Goods-Svcs Sold'!$E$20),0)</f>
        <v>0</v>
      </c>
      <c r="R162" s="270">
        <f>IF(R124*('4.Cost of Goods-Svcs Sold'!$E$17+'4.Cost of Goods-Svcs Sold'!$E$20)&gt;0,R124*('4.Cost of Goods-Svcs Sold'!$E$17+'4.Cost of Goods-Svcs Sold'!$E$20),0)</f>
        <v>0</v>
      </c>
      <c r="S162" s="270">
        <f>IF(S124*('4.Cost of Goods-Svcs Sold'!$E$17+'4.Cost of Goods-Svcs Sold'!$E$20)&gt;0,S124*('4.Cost of Goods-Svcs Sold'!$E$17+'4.Cost of Goods-Svcs Sold'!$E$20),0)</f>
        <v>0</v>
      </c>
    </row>
    <row r="163" spans="2:19">
      <c r="E163" s="3" t="s">
        <v>377</v>
      </c>
      <c r="H163" s="270">
        <f>IF(H125*('4.Cost of Goods-Svcs Sold'!$E$17+'4.Cost of Goods-Svcs Sold'!$E$20)&gt;0,H125*('4.Cost of Goods-Svcs Sold'!$E$17+'4.Cost of Goods-Svcs Sold'!$E$20),0)</f>
        <v>0</v>
      </c>
      <c r="I163" s="270">
        <f>IF(I125*('4.Cost of Goods-Svcs Sold'!$E$17+'4.Cost of Goods-Svcs Sold'!$E$20)&gt;0,I125*('4.Cost of Goods-Svcs Sold'!$E$17+'4.Cost of Goods-Svcs Sold'!$E$20),0)</f>
        <v>0</v>
      </c>
      <c r="J163" s="270">
        <f>IF(J125*('4.Cost of Goods-Svcs Sold'!$E$17+'4.Cost of Goods-Svcs Sold'!$E$20)&gt;0,J125*('4.Cost of Goods-Svcs Sold'!$E$17+'4.Cost of Goods-Svcs Sold'!$E$20),0)</f>
        <v>0</v>
      </c>
      <c r="K163" s="270">
        <f>IF(K125*('4.Cost of Goods-Svcs Sold'!$E$17+'4.Cost of Goods-Svcs Sold'!$E$20)&gt;0,K125*('4.Cost of Goods-Svcs Sold'!$E$17+'4.Cost of Goods-Svcs Sold'!$E$20),0)</f>
        <v>0</v>
      </c>
      <c r="L163" s="270">
        <f>IF(L125*('4.Cost of Goods-Svcs Sold'!$E$17+'4.Cost of Goods-Svcs Sold'!$E$20)&gt;0,L125*('4.Cost of Goods-Svcs Sold'!$E$17+'4.Cost of Goods-Svcs Sold'!$E$20),0)</f>
        <v>0</v>
      </c>
      <c r="M163" s="270">
        <f>IF(M125*('4.Cost of Goods-Svcs Sold'!$E$17+'4.Cost of Goods-Svcs Sold'!$E$20)&gt;0,M125*('4.Cost of Goods-Svcs Sold'!$E$17+'4.Cost of Goods-Svcs Sold'!$E$20),0)</f>
        <v>0</v>
      </c>
      <c r="N163" s="270">
        <f>IF(N125*('4.Cost of Goods-Svcs Sold'!$E$17+'4.Cost of Goods-Svcs Sold'!$E$20)&gt;0,N125*('4.Cost of Goods-Svcs Sold'!$E$17+'4.Cost of Goods-Svcs Sold'!$E$20),0)</f>
        <v>0</v>
      </c>
      <c r="O163" s="270">
        <f>IF(O125*('4.Cost of Goods-Svcs Sold'!$E$17+'4.Cost of Goods-Svcs Sold'!$E$20)&gt;0,O125*('4.Cost of Goods-Svcs Sold'!$E$17+'4.Cost of Goods-Svcs Sold'!$E$20),0)</f>
        <v>0</v>
      </c>
      <c r="P163" s="270">
        <f>IF(P125*('4.Cost of Goods-Svcs Sold'!$E$17+'4.Cost of Goods-Svcs Sold'!$E$20)&gt;0,P125*('4.Cost of Goods-Svcs Sold'!$E$17+'4.Cost of Goods-Svcs Sold'!$E$20),0)</f>
        <v>0</v>
      </c>
      <c r="Q163" s="270">
        <f>IF(Q125*('4.Cost of Goods-Svcs Sold'!$E$17+'4.Cost of Goods-Svcs Sold'!$E$20)&gt;0,Q125*('4.Cost of Goods-Svcs Sold'!$E$17+'4.Cost of Goods-Svcs Sold'!$E$20),0)</f>
        <v>0</v>
      </c>
      <c r="R163" s="270">
        <f>IF(R125*('4.Cost of Goods-Svcs Sold'!$E$17+'4.Cost of Goods-Svcs Sold'!$E$20)&gt;0,R125*('4.Cost of Goods-Svcs Sold'!$E$17+'4.Cost of Goods-Svcs Sold'!$E$20),0)</f>
        <v>0</v>
      </c>
      <c r="S163" s="270">
        <f>IF(S125*('4.Cost of Goods-Svcs Sold'!$E$17+'4.Cost of Goods-Svcs Sold'!$E$20)&gt;0,S125*('4.Cost of Goods-Svcs Sold'!$E$17+'4.Cost of Goods-Svcs Sold'!$E$20),0)</f>
        <v>0</v>
      </c>
    </row>
    <row r="164" spans="2:19">
      <c r="E164" s="3" t="s">
        <v>378</v>
      </c>
      <c r="H164" s="270">
        <f>IF(H126*('4.Cost of Goods-Svcs Sold'!$E$17+'4.Cost of Goods-Svcs Sold'!$E$20)&gt;0,H126*('4.Cost of Goods-Svcs Sold'!$E$17+'4.Cost of Goods-Svcs Sold'!$E$20),0)</f>
        <v>0</v>
      </c>
      <c r="I164" s="270">
        <f>IF(I126*('4.Cost of Goods-Svcs Sold'!$E$17+'4.Cost of Goods-Svcs Sold'!$E$20)&gt;0,I126*('4.Cost of Goods-Svcs Sold'!$E$17+'4.Cost of Goods-Svcs Sold'!$E$20),0)</f>
        <v>0</v>
      </c>
      <c r="J164" s="270">
        <f>IF(J126*('4.Cost of Goods-Svcs Sold'!$E$17+'4.Cost of Goods-Svcs Sold'!$E$20)&gt;0,J126*('4.Cost of Goods-Svcs Sold'!$E$17+'4.Cost of Goods-Svcs Sold'!$E$20),0)</f>
        <v>0</v>
      </c>
      <c r="K164" s="270">
        <f>IF(K126*('4.Cost of Goods-Svcs Sold'!$E$17+'4.Cost of Goods-Svcs Sold'!$E$20)&gt;0,K126*('4.Cost of Goods-Svcs Sold'!$E$17+'4.Cost of Goods-Svcs Sold'!$E$20),0)</f>
        <v>0</v>
      </c>
      <c r="L164" s="270">
        <f>IF(L126*('4.Cost of Goods-Svcs Sold'!$E$17+'4.Cost of Goods-Svcs Sold'!$E$20)&gt;0,L126*('4.Cost of Goods-Svcs Sold'!$E$17+'4.Cost of Goods-Svcs Sold'!$E$20),0)</f>
        <v>0</v>
      </c>
      <c r="M164" s="270">
        <f>IF(M126*('4.Cost of Goods-Svcs Sold'!$E$17+'4.Cost of Goods-Svcs Sold'!$E$20)&gt;0,M126*('4.Cost of Goods-Svcs Sold'!$E$17+'4.Cost of Goods-Svcs Sold'!$E$20),0)</f>
        <v>0</v>
      </c>
      <c r="N164" s="270">
        <f>IF(N126*('4.Cost of Goods-Svcs Sold'!$E$17+'4.Cost of Goods-Svcs Sold'!$E$20)&gt;0,N126*('4.Cost of Goods-Svcs Sold'!$E$17+'4.Cost of Goods-Svcs Sold'!$E$20),0)</f>
        <v>0</v>
      </c>
      <c r="O164" s="270">
        <f>IF(O126*('4.Cost of Goods-Svcs Sold'!$E$17+'4.Cost of Goods-Svcs Sold'!$E$20)&gt;0,O126*('4.Cost of Goods-Svcs Sold'!$E$17+'4.Cost of Goods-Svcs Sold'!$E$20),0)</f>
        <v>0</v>
      </c>
      <c r="P164" s="270">
        <f>IF(P126*('4.Cost of Goods-Svcs Sold'!$E$17+'4.Cost of Goods-Svcs Sold'!$E$20)&gt;0,P126*('4.Cost of Goods-Svcs Sold'!$E$17+'4.Cost of Goods-Svcs Sold'!$E$20),0)</f>
        <v>0</v>
      </c>
      <c r="Q164" s="270">
        <f>IF(Q126*('4.Cost of Goods-Svcs Sold'!$E$17+'4.Cost of Goods-Svcs Sold'!$E$20)&gt;0,Q126*('4.Cost of Goods-Svcs Sold'!$E$17+'4.Cost of Goods-Svcs Sold'!$E$20),0)</f>
        <v>0</v>
      </c>
      <c r="R164" s="270">
        <f>IF(R126*('4.Cost of Goods-Svcs Sold'!$E$17+'4.Cost of Goods-Svcs Sold'!$E$20)&gt;0,R126*('4.Cost of Goods-Svcs Sold'!$E$17+'4.Cost of Goods-Svcs Sold'!$E$20),0)</f>
        <v>0</v>
      </c>
      <c r="S164" s="270">
        <f>IF(S126*('4.Cost of Goods-Svcs Sold'!$E$17+'4.Cost of Goods-Svcs Sold'!$E$20)&gt;0,S126*('4.Cost of Goods-Svcs Sold'!$E$17+'4.Cost of Goods-Svcs Sold'!$E$20),0)</f>
        <v>0</v>
      </c>
    </row>
    <row r="166" spans="2:19">
      <c r="B166" s="1" t="s">
        <v>379</v>
      </c>
      <c r="E166" s="3" t="s">
        <v>376</v>
      </c>
      <c r="H166" s="343">
        <f>+H142+H146+H150+H154+H158+H162</f>
        <v>0</v>
      </c>
      <c r="I166" s="343">
        <f t="shared" ref="I166:S166" si="36">+I142+I146+I150+I154+I158+I162</f>
        <v>0</v>
      </c>
      <c r="J166" s="343">
        <f t="shared" si="36"/>
        <v>0</v>
      </c>
      <c r="K166" s="343">
        <f t="shared" si="36"/>
        <v>0</v>
      </c>
      <c r="L166" s="343">
        <f t="shared" si="36"/>
        <v>0</v>
      </c>
      <c r="M166" s="343">
        <f t="shared" si="36"/>
        <v>0</v>
      </c>
      <c r="N166" s="343">
        <f t="shared" si="36"/>
        <v>0</v>
      </c>
      <c r="O166" s="343">
        <f t="shared" si="36"/>
        <v>0</v>
      </c>
      <c r="P166" s="343">
        <f t="shared" si="36"/>
        <v>0</v>
      </c>
      <c r="Q166" s="343">
        <f t="shared" si="36"/>
        <v>0</v>
      </c>
      <c r="R166" s="343">
        <f t="shared" si="36"/>
        <v>0</v>
      </c>
      <c r="S166" s="343">
        <f t="shared" si="36"/>
        <v>0</v>
      </c>
    </row>
    <row r="167" spans="2:19">
      <c r="E167" s="3" t="s">
        <v>377</v>
      </c>
      <c r="H167" s="343">
        <f t="shared" ref="H167:S167" si="37">+H143+H147+H151+H155+H159+H163</f>
        <v>0</v>
      </c>
      <c r="I167" s="343">
        <f t="shared" si="37"/>
        <v>0</v>
      </c>
      <c r="J167" s="343">
        <f t="shared" si="37"/>
        <v>0</v>
      </c>
      <c r="K167" s="343">
        <f t="shared" si="37"/>
        <v>0</v>
      </c>
      <c r="L167" s="343">
        <f t="shared" si="37"/>
        <v>0</v>
      </c>
      <c r="M167" s="343">
        <f t="shared" si="37"/>
        <v>0</v>
      </c>
      <c r="N167" s="343">
        <f t="shared" si="37"/>
        <v>0</v>
      </c>
      <c r="O167" s="343">
        <f t="shared" si="37"/>
        <v>0</v>
      </c>
      <c r="P167" s="343">
        <f t="shared" si="37"/>
        <v>0</v>
      </c>
      <c r="Q167" s="343">
        <f t="shared" si="37"/>
        <v>0</v>
      </c>
      <c r="R167" s="343">
        <f t="shared" si="37"/>
        <v>0</v>
      </c>
      <c r="S167" s="343">
        <f t="shared" si="37"/>
        <v>0</v>
      </c>
    </row>
    <row r="168" spans="2:19">
      <c r="E168" s="3" t="s">
        <v>378</v>
      </c>
      <c r="H168" s="343">
        <f t="shared" ref="H168:S168" si="38">+H144+H148+H152+H156+H160+H164</f>
        <v>0</v>
      </c>
      <c r="I168" s="343">
        <f t="shared" si="38"/>
        <v>0</v>
      </c>
      <c r="J168" s="343">
        <f t="shared" si="38"/>
        <v>0</v>
      </c>
      <c r="K168" s="343">
        <f t="shared" si="38"/>
        <v>0</v>
      </c>
      <c r="L168" s="343">
        <f t="shared" si="38"/>
        <v>0</v>
      </c>
      <c r="M168" s="343">
        <f t="shared" si="38"/>
        <v>0</v>
      </c>
      <c r="N168" s="343">
        <f t="shared" si="38"/>
        <v>0</v>
      </c>
      <c r="O168" s="343">
        <f t="shared" si="38"/>
        <v>0</v>
      </c>
      <c r="P168" s="343">
        <f t="shared" si="38"/>
        <v>0</v>
      </c>
      <c r="Q168" s="343">
        <f t="shared" si="38"/>
        <v>0</v>
      </c>
      <c r="R168" s="343">
        <f t="shared" si="38"/>
        <v>0</v>
      </c>
      <c r="S168" s="343">
        <f t="shared" si="38"/>
        <v>0</v>
      </c>
    </row>
  </sheetData>
  <phoneticPr fontId="4" type="noConversion"/>
  <pageMargins left="0.75" right="0.75" top="1" bottom="1" header="0.5" footer="0.5"/>
  <pageSetup scale="75" orientation="landscape" blackAndWhite="1"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T391"/>
  <sheetViews>
    <sheetView zoomScaleNormal="100" workbookViewId="0">
      <pane ySplit="3" topLeftCell="A4" activePane="bottomLeft" state="frozen"/>
      <selection pane="bottomLeft" activeCell="H18" sqref="H18"/>
    </sheetView>
  </sheetViews>
  <sheetFormatPr defaultColWidth="8.85546875" defaultRowHeight="12"/>
  <cols>
    <col min="4" max="4" width="17.140625" customWidth="1"/>
    <col min="5" max="5" width="11.28515625" customWidth="1"/>
    <col min="8" max="19" width="9.85546875" style="233" customWidth="1"/>
    <col min="20" max="20" width="13.85546875" style="233" customWidth="1"/>
  </cols>
  <sheetData>
    <row r="3" spans="1:20" ht="12.75" thickBot="1">
      <c r="A3" s="62" t="s">
        <v>290</v>
      </c>
      <c r="B3" s="62"/>
      <c r="C3" s="62"/>
      <c r="D3" s="62"/>
      <c r="E3" s="63" t="s">
        <v>285</v>
      </c>
      <c r="F3" s="64" t="s">
        <v>291</v>
      </c>
      <c r="G3" s="63"/>
      <c r="H3" s="231">
        <f>'4a.Prod 1-6 Unit Sales Forecast'!H6</f>
        <v>1</v>
      </c>
      <c r="I3" s="231">
        <f>'4a.Prod 1-6 Unit Sales Forecast'!I6</f>
        <v>2</v>
      </c>
      <c r="J3" s="231">
        <f>'4a.Prod 1-6 Unit Sales Forecast'!J6</f>
        <v>3</v>
      </c>
      <c r="K3" s="231">
        <f>'4a.Prod 1-6 Unit Sales Forecast'!K6</f>
        <v>4</v>
      </c>
      <c r="L3" s="231">
        <f>'4a.Prod 1-6 Unit Sales Forecast'!L6</f>
        <v>5</v>
      </c>
      <c r="M3" s="231">
        <f>'4a.Prod 1-6 Unit Sales Forecast'!M6</f>
        <v>6</v>
      </c>
      <c r="N3" s="231">
        <f>'4a.Prod 1-6 Unit Sales Forecast'!N6</f>
        <v>7</v>
      </c>
      <c r="O3" s="231">
        <f>'4a.Prod 1-6 Unit Sales Forecast'!O6</f>
        <v>8</v>
      </c>
      <c r="P3" s="231">
        <f>'4a.Prod 1-6 Unit Sales Forecast'!P6</f>
        <v>9</v>
      </c>
      <c r="Q3" s="231">
        <f>'4a.Prod 1-6 Unit Sales Forecast'!Q6</f>
        <v>10</v>
      </c>
      <c r="R3" s="231">
        <f>'4a.Prod 1-6 Unit Sales Forecast'!R6</f>
        <v>11</v>
      </c>
      <c r="S3" s="231">
        <f>'4a.Prod 1-6 Unit Sales Forecast'!S6</f>
        <v>12</v>
      </c>
      <c r="T3" s="231" t="str">
        <f>'4a.Prod 1-6 Unit Sales Forecast'!T6</f>
        <v>Totals</v>
      </c>
    </row>
    <row r="4" spans="1:20" ht="12.75" thickTop="1">
      <c r="A4" s="24"/>
      <c r="B4" s="23"/>
      <c r="C4" s="23"/>
      <c r="D4" s="24"/>
      <c r="E4" s="66"/>
      <c r="F4" s="66"/>
      <c r="G4" s="66"/>
      <c r="H4" s="232"/>
      <c r="I4" s="232"/>
      <c r="J4" s="232"/>
      <c r="K4" s="232"/>
      <c r="L4" s="232"/>
      <c r="M4" s="232"/>
      <c r="N4" s="232"/>
      <c r="O4" s="232"/>
      <c r="P4" s="232"/>
      <c r="Q4" s="232"/>
      <c r="R4" s="232"/>
      <c r="S4" s="232"/>
    </row>
    <row r="5" spans="1:20">
      <c r="A5" s="225" t="str">
        <f>+'4.Cost of Goods-Svcs Sold'!G14</f>
        <v>Product/Service 7</v>
      </c>
      <c r="B5" s="225"/>
      <c r="C5" s="225"/>
      <c r="D5" s="225"/>
      <c r="E5" s="294"/>
      <c r="F5" s="294"/>
      <c r="G5" s="294"/>
      <c r="H5" s="295"/>
      <c r="I5" s="295"/>
      <c r="J5" s="295"/>
      <c r="K5" s="295"/>
      <c r="L5" s="295"/>
      <c r="M5" s="295"/>
      <c r="N5" s="295"/>
      <c r="O5" s="295"/>
      <c r="P5" s="295"/>
      <c r="Q5" s="295"/>
      <c r="R5" s="295"/>
      <c r="S5" s="295"/>
    </row>
    <row r="6" spans="1:20">
      <c r="A6" s="1"/>
      <c r="B6" s="1" t="s">
        <v>276</v>
      </c>
      <c r="C6" s="1"/>
      <c r="D6" s="296"/>
      <c r="E6" s="297">
        <v>0</v>
      </c>
      <c r="F6" s="298">
        <v>1</v>
      </c>
      <c r="G6" s="298"/>
      <c r="H6" s="295"/>
      <c r="I6" s="295"/>
      <c r="J6" s="295"/>
      <c r="K6" s="295"/>
      <c r="L6" s="295"/>
      <c r="M6" s="295"/>
      <c r="N6" s="295"/>
      <c r="O6" s="295"/>
      <c r="P6" s="295"/>
      <c r="Q6" s="295"/>
      <c r="R6" s="295"/>
      <c r="S6" s="295"/>
    </row>
    <row r="7" spans="1:20">
      <c r="A7" s="1"/>
      <c r="B7" s="1" t="s">
        <v>403</v>
      </c>
      <c r="C7" s="1"/>
      <c r="D7" s="296"/>
      <c r="E7" s="397">
        <f>+'4.Cost of Goods-Svcs Sold'!H21</f>
        <v>0</v>
      </c>
      <c r="F7" s="299">
        <f>IF(E6&gt;0,E7/E6,0)</f>
        <v>0</v>
      </c>
      <c r="G7" s="298"/>
      <c r="H7" s="295"/>
      <c r="I7" s="295"/>
      <c r="J7" s="295"/>
      <c r="K7" s="295"/>
      <c r="L7" s="295"/>
      <c r="M7" s="295"/>
      <c r="N7" s="295"/>
      <c r="O7" s="295"/>
      <c r="P7" s="295"/>
      <c r="Q7" s="295"/>
      <c r="R7" s="295"/>
      <c r="S7" s="295"/>
    </row>
    <row r="8" spans="1:20">
      <c r="A8" s="1"/>
      <c r="B8" s="1" t="s">
        <v>289</v>
      </c>
      <c r="C8" s="1"/>
      <c r="D8" s="296"/>
      <c r="E8" s="300">
        <f>E6-E7</f>
        <v>0</v>
      </c>
      <c r="F8" s="298">
        <f>IF(E6&gt;0,E8/E6,0)</f>
        <v>0</v>
      </c>
      <c r="G8" s="298"/>
      <c r="H8" s="295"/>
      <c r="I8" s="295"/>
      <c r="J8" s="295"/>
      <c r="K8" s="295"/>
      <c r="L8" s="295"/>
      <c r="M8" s="295"/>
      <c r="N8" s="295"/>
      <c r="O8" s="295"/>
      <c r="P8" s="295"/>
      <c r="Q8" s="295"/>
      <c r="R8" s="295"/>
      <c r="S8" s="295"/>
    </row>
    <row r="9" spans="1:20">
      <c r="A9" s="1"/>
      <c r="B9" s="1" t="s">
        <v>282</v>
      </c>
      <c r="C9" s="1"/>
      <c r="D9" s="296"/>
      <c r="E9" s="294"/>
      <c r="F9" s="294"/>
      <c r="G9" s="294"/>
      <c r="H9" s="295"/>
      <c r="I9" s="295"/>
      <c r="J9" s="295"/>
      <c r="K9" s="295"/>
      <c r="L9" s="295"/>
      <c r="M9" s="295"/>
      <c r="N9" s="295"/>
      <c r="O9" s="295"/>
      <c r="P9" s="295"/>
      <c r="Q9" s="295"/>
      <c r="R9" s="295"/>
      <c r="S9" s="295"/>
    </row>
    <row r="10" spans="1:20" ht="12.75" thickBot="1">
      <c r="A10" s="1"/>
      <c r="B10" s="1"/>
      <c r="C10" s="1" t="s">
        <v>287</v>
      </c>
      <c r="D10" s="296"/>
      <c r="E10" s="294"/>
      <c r="F10" s="294"/>
      <c r="G10" s="294"/>
      <c r="H10" s="309">
        <f>IF(H11=0,0,H11/$T11)</f>
        <v>0</v>
      </c>
      <c r="I10" s="309">
        <f t="shared" ref="I10:S10" si="0">IF(I11=0,0,I11/$T11)</f>
        <v>0</v>
      </c>
      <c r="J10" s="309">
        <f t="shared" si="0"/>
        <v>0</v>
      </c>
      <c r="K10" s="309">
        <f t="shared" si="0"/>
        <v>0</v>
      </c>
      <c r="L10" s="309">
        <f t="shared" si="0"/>
        <v>0</v>
      </c>
      <c r="M10" s="309">
        <f t="shared" si="0"/>
        <v>0</v>
      </c>
      <c r="N10" s="309">
        <f t="shared" si="0"/>
        <v>0</v>
      </c>
      <c r="O10" s="309">
        <f t="shared" si="0"/>
        <v>0</v>
      </c>
      <c r="P10" s="309">
        <f t="shared" si="0"/>
        <v>0</v>
      </c>
      <c r="Q10" s="309">
        <f t="shared" si="0"/>
        <v>0</v>
      </c>
      <c r="R10" s="309">
        <f t="shared" si="0"/>
        <v>0</v>
      </c>
      <c r="S10" s="309">
        <f t="shared" si="0"/>
        <v>0</v>
      </c>
      <c r="T10" s="310">
        <f>SUM(H10:S10)</f>
        <v>0</v>
      </c>
    </row>
    <row r="11" spans="1:20">
      <c r="A11" s="1"/>
      <c r="B11" s="1"/>
      <c r="C11" s="1" t="s">
        <v>393</v>
      </c>
      <c r="D11" s="296"/>
      <c r="E11" s="294"/>
      <c r="F11" s="294"/>
      <c r="G11" s="294"/>
      <c r="H11" s="301">
        <v>0</v>
      </c>
      <c r="I11" s="301"/>
      <c r="J11" s="301"/>
      <c r="K11" s="301"/>
      <c r="L11" s="301"/>
      <c r="M11" s="301"/>
      <c r="N11" s="301"/>
      <c r="O11" s="301"/>
      <c r="P11" s="301"/>
      <c r="Q11" s="301"/>
      <c r="R11" s="301"/>
      <c r="S11" s="301">
        <v>0</v>
      </c>
      <c r="T11" s="233">
        <f>SUM(H11:S11)</f>
        <v>0</v>
      </c>
    </row>
    <row r="12" spans="1:20">
      <c r="A12" s="1"/>
      <c r="B12" s="1"/>
      <c r="C12" s="1" t="s">
        <v>404</v>
      </c>
      <c r="D12" s="296"/>
      <c r="E12" s="302">
        <v>0</v>
      </c>
      <c r="F12" s="303"/>
      <c r="G12" s="298"/>
      <c r="H12" s="313">
        <f>IF($E12=0,S11,ROUND((1+($E12/12))*S11,0))</f>
        <v>0</v>
      </c>
      <c r="I12" s="313">
        <f>IF($E12=0,H12,ROUND((1+($E12/12))*H12,0))</f>
        <v>0</v>
      </c>
      <c r="J12" s="313">
        <f t="shared" ref="J12:S13" si="1">IF($E12=0,I12,ROUND((1+($E12/12))*I12,0))</f>
        <v>0</v>
      </c>
      <c r="K12" s="313">
        <f t="shared" si="1"/>
        <v>0</v>
      </c>
      <c r="L12" s="313">
        <f t="shared" si="1"/>
        <v>0</v>
      </c>
      <c r="M12" s="313">
        <f t="shared" si="1"/>
        <v>0</v>
      </c>
      <c r="N12" s="313">
        <f t="shared" si="1"/>
        <v>0</v>
      </c>
      <c r="O12" s="313">
        <f t="shared" si="1"/>
        <v>0</v>
      </c>
      <c r="P12" s="313">
        <f t="shared" si="1"/>
        <v>0</v>
      </c>
      <c r="Q12" s="313">
        <f t="shared" si="1"/>
        <v>0</v>
      </c>
      <c r="R12" s="313">
        <f t="shared" si="1"/>
        <v>0</v>
      </c>
      <c r="S12" s="313">
        <f t="shared" si="1"/>
        <v>0</v>
      </c>
      <c r="T12" s="233">
        <f>SUM(H12:S12)</f>
        <v>0</v>
      </c>
    </row>
    <row r="13" spans="1:20">
      <c r="A13" s="296"/>
      <c r="B13" s="1"/>
      <c r="C13" s="1" t="s">
        <v>405</v>
      </c>
      <c r="D13" s="296"/>
      <c r="E13" s="302">
        <v>0</v>
      </c>
      <c r="F13" s="294"/>
      <c r="G13" s="298"/>
      <c r="H13" s="313">
        <f>IF($E13=0,S12,ROUND((1+($E13/12))*S12,0))</f>
        <v>0</v>
      </c>
      <c r="I13" s="313">
        <f>IF($E13=0,H13,ROUND((1+($E13/12))*H13,0))</f>
        <v>0</v>
      </c>
      <c r="J13" s="313">
        <f t="shared" si="1"/>
        <v>0</v>
      </c>
      <c r="K13" s="313">
        <f t="shared" si="1"/>
        <v>0</v>
      </c>
      <c r="L13" s="313">
        <f t="shared" si="1"/>
        <v>0</v>
      </c>
      <c r="M13" s="313">
        <f t="shared" si="1"/>
        <v>0</v>
      </c>
      <c r="N13" s="313">
        <f t="shared" si="1"/>
        <v>0</v>
      </c>
      <c r="O13" s="313">
        <f t="shared" si="1"/>
        <v>0</v>
      </c>
      <c r="P13" s="313">
        <f t="shared" si="1"/>
        <v>0</v>
      </c>
      <c r="Q13" s="313">
        <f t="shared" si="1"/>
        <v>0</v>
      </c>
      <c r="R13" s="313">
        <f t="shared" si="1"/>
        <v>0</v>
      </c>
      <c r="S13" s="313">
        <f t="shared" si="1"/>
        <v>0</v>
      </c>
      <c r="T13" s="233">
        <f>SUM(H13:S13)</f>
        <v>0</v>
      </c>
    </row>
    <row r="14" spans="1:20">
      <c r="A14" s="296"/>
      <c r="B14" s="344" t="s">
        <v>115</v>
      </c>
      <c r="C14" s="1"/>
      <c r="D14" s="296"/>
      <c r="E14" s="302"/>
      <c r="F14" s="294"/>
      <c r="G14" s="298"/>
      <c r="H14" s="304"/>
      <c r="I14" s="304"/>
      <c r="J14" s="304"/>
      <c r="K14" s="304"/>
      <c r="L14" s="304"/>
      <c r="M14" s="304"/>
      <c r="N14" s="304"/>
      <c r="O14" s="304"/>
      <c r="P14" s="304"/>
      <c r="Q14" s="304"/>
      <c r="R14" s="304"/>
      <c r="S14" s="304"/>
    </row>
    <row r="15" spans="1:20">
      <c r="A15" s="296"/>
      <c r="B15" s="1"/>
      <c r="C15" s="1"/>
      <c r="D15" s="296"/>
      <c r="E15" s="294"/>
      <c r="F15" s="294"/>
      <c r="G15" s="294"/>
      <c r="H15" s="295"/>
      <c r="I15" s="295"/>
      <c r="J15" s="295"/>
      <c r="K15" s="295"/>
      <c r="L15" s="295"/>
      <c r="M15" s="295"/>
      <c r="N15" s="295"/>
      <c r="O15" s="295"/>
      <c r="P15" s="295"/>
      <c r="Q15" s="295"/>
      <c r="R15" s="295"/>
      <c r="S15" s="295"/>
    </row>
    <row r="16" spans="1:20">
      <c r="A16" s="296"/>
      <c r="B16" s="1" t="s">
        <v>28</v>
      </c>
      <c r="C16" s="1"/>
      <c r="D16" s="296"/>
      <c r="E16" s="305">
        <f>T11*E6</f>
        <v>0</v>
      </c>
      <c r="F16" s="298"/>
      <c r="G16" s="294"/>
      <c r="H16" s="295">
        <f>+H11*$E$6</f>
        <v>0</v>
      </c>
      <c r="I16" s="295">
        <f t="shared" ref="I16:S16" si="2">+I11*$E$6</f>
        <v>0</v>
      </c>
      <c r="J16" s="295">
        <f t="shared" si="2"/>
        <v>0</v>
      </c>
      <c r="K16" s="295">
        <f t="shared" si="2"/>
        <v>0</v>
      </c>
      <c r="L16" s="295">
        <f t="shared" si="2"/>
        <v>0</v>
      </c>
      <c r="M16" s="295">
        <f t="shared" si="2"/>
        <v>0</v>
      </c>
      <c r="N16" s="295">
        <f t="shared" si="2"/>
        <v>0</v>
      </c>
      <c r="O16" s="295">
        <f t="shared" si="2"/>
        <v>0</v>
      </c>
      <c r="P16" s="295">
        <f t="shared" si="2"/>
        <v>0</v>
      </c>
      <c r="Q16" s="295">
        <f t="shared" si="2"/>
        <v>0</v>
      </c>
      <c r="R16" s="295">
        <f t="shared" si="2"/>
        <v>0</v>
      </c>
      <c r="S16" s="295">
        <f t="shared" si="2"/>
        <v>0</v>
      </c>
      <c r="T16" s="233">
        <f>SUM(H16:S16)</f>
        <v>0</v>
      </c>
    </row>
    <row r="17" spans="1:20">
      <c r="A17" s="296"/>
      <c r="B17" s="1" t="s">
        <v>389</v>
      </c>
      <c r="C17" s="1"/>
      <c r="D17" s="296"/>
      <c r="E17" s="306">
        <f>E7*T11</f>
        <v>0</v>
      </c>
      <c r="F17" s="298"/>
      <c r="G17" s="294"/>
      <c r="H17" s="295">
        <f>+H11*$E$7</f>
        <v>0</v>
      </c>
      <c r="I17" s="295">
        <f t="shared" ref="I17:S17" si="3">+I11*$E$7</f>
        <v>0</v>
      </c>
      <c r="J17" s="295">
        <f t="shared" si="3"/>
        <v>0</v>
      </c>
      <c r="K17" s="295">
        <f t="shared" si="3"/>
        <v>0</v>
      </c>
      <c r="L17" s="295">
        <f t="shared" si="3"/>
        <v>0</v>
      </c>
      <c r="M17" s="295">
        <f t="shared" si="3"/>
        <v>0</v>
      </c>
      <c r="N17" s="295">
        <f t="shared" si="3"/>
        <v>0</v>
      </c>
      <c r="O17" s="295">
        <f t="shared" si="3"/>
        <v>0</v>
      </c>
      <c r="P17" s="295">
        <f t="shared" si="3"/>
        <v>0</v>
      </c>
      <c r="Q17" s="295">
        <f t="shared" si="3"/>
        <v>0</v>
      </c>
      <c r="R17" s="295">
        <f t="shared" si="3"/>
        <v>0</v>
      </c>
      <c r="S17" s="295">
        <f t="shared" si="3"/>
        <v>0</v>
      </c>
      <c r="T17" s="233">
        <f>SUM(H17:S17)</f>
        <v>0</v>
      </c>
    </row>
    <row r="18" spans="1:20" s="356" customFormat="1">
      <c r="A18" s="334"/>
      <c r="C18" s="334" t="s">
        <v>409</v>
      </c>
      <c r="E18" s="362"/>
      <c r="F18" s="363"/>
      <c r="G18" s="364"/>
      <c r="H18" s="365">
        <f>+H11*($E$7-'4.Cost of Goods-Svcs Sold'!$H$15)</f>
        <v>0</v>
      </c>
      <c r="I18" s="365">
        <f>+I$11*($E$7-'4.Cost of Goods-Svcs Sold'!$H$15)</f>
        <v>0</v>
      </c>
      <c r="J18" s="365">
        <f>+J$11*($E$7-'4.Cost of Goods-Svcs Sold'!$H$15)</f>
        <v>0</v>
      </c>
      <c r="K18" s="365">
        <f>+K$11*($E$7-'4.Cost of Goods-Svcs Sold'!$H$15)</f>
        <v>0</v>
      </c>
      <c r="L18" s="365">
        <f>+L$11*($E$7-'4.Cost of Goods-Svcs Sold'!$H$15)</f>
        <v>0</v>
      </c>
      <c r="M18" s="365">
        <f>+M$11*($E$7-'4.Cost of Goods-Svcs Sold'!$H$15)</f>
        <v>0</v>
      </c>
      <c r="N18" s="365">
        <f>+N$11*($E$7-'4.Cost of Goods-Svcs Sold'!$H$15)</f>
        <v>0</v>
      </c>
      <c r="O18" s="365">
        <f>+O$11*($E$7-'4.Cost of Goods-Svcs Sold'!$H$15)</f>
        <v>0</v>
      </c>
      <c r="P18" s="365">
        <f>+P$11*($E$7-'4.Cost of Goods-Svcs Sold'!$H$15)</f>
        <v>0</v>
      </c>
      <c r="Q18" s="365">
        <f>+Q$11*($E$7-'4.Cost of Goods-Svcs Sold'!$H$15)</f>
        <v>0</v>
      </c>
      <c r="R18" s="365">
        <f>+R$11*($E$7-'4.Cost of Goods-Svcs Sold'!$H$15)</f>
        <v>0</v>
      </c>
      <c r="S18" s="365">
        <f>+S$11*($E$7-'4.Cost of Goods-Svcs Sold'!$H$15)</f>
        <v>0</v>
      </c>
      <c r="T18" s="365"/>
    </row>
    <row r="19" spans="1:20">
      <c r="A19" s="1"/>
      <c r="B19" s="1" t="s">
        <v>30</v>
      </c>
      <c r="C19" s="1"/>
      <c r="D19" s="296"/>
      <c r="E19" s="306"/>
      <c r="F19" s="298"/>
      <c r="G19" s="298"/>
      <c r="H19" s="295">
        <f>+H12*$E$6</f>
        <v>0</v>
      </c>
      <c r="I19" s="295">
        <f t="shared" ref="I19:S19" si="4">+I12*$E$6</f>
        <v>0</v>
      </c>
      <c r="J19" s="295">
        <f t="shared" si="4"/>
        <v>0</v>
      </c>
      <c r="K19" s="295">
        <f t="shared" si="4"/>
        <v>0</v>
      </c>
      <c r="L19" s="295">
        <f t="shared" si="4"/>
        <v>0</v>
      </c>
      <c r="M19" s="295">
        <f t="shared" si="4"/>
        <v>0</v>
      </c>
      <c r="N19" s="295">
        <f t="shared" si="4"/>
        <v>0</v>
      </c>
      <c r="O19" s="295">
        <f t="shared" si="4"/>
        <v>0</v>
      </c>
      <c r="P19" s="295">
        <f t="shared" si="4"/>
        <v>0</v>
      </c>
      <c r="Q19" s="295">
        <f t="shared" si="4"/>
        <v>0</v>
      </c>
      <c r="R19" s="295">
        <f t="shared" si="4"/>
        <v>0</v>
      </c>
      <c r="S19" s="295">
        <f t="shared" si="4"/>
        <v>0</v>
      </c>
      <c r="T19" s="233">
        <f>SUM(H19:S19)</f>
        <v>0</v>
      </c>
    </row>
    <row r="20" spans="1:20">
      <c r="A20" s="1"/>
      <c r="B20" s="1" t="s">
        <v>390</v>
      </c>
      <c r="C20" s="1"/>
      <c r="D20" s="296"/>
      <c r="E20" s="306"/>
      <c r="F20" s="298"/>
      <c r="G20" s="298"/>
      <c r="H20" s="295">
        <f>+H12*$E$7</f>
        <v>0</v>
      </c>
      <c r="I20" s="295">
        <f t="shared" ref="I20:S20" si="5">+I12*$E$7</f>
        <v>0</v>
      </c>
      <c r="J20" s="295">
        <f t="shared" si="5"/>
        <v>0</v>
      </c>
      <c r="K20" s="295">
        <f t="shared" si="5"/>
        <v>0</v>
      </c>
      <c r="L20" s="295">
        <f t="shared" si="5"/>
        <v>0</v>
      </c>
      <c r="M20" s="295">
        <f t="shared" si="5"/>
        <v>0</v>
      </c>
      <c r="N20" s="295">
        <f t="shared" si="5"/>
        <v>0</v>
      </c>
      <c r="O20" s="295">
        <f t="shared" si="5"/>
        <v>0</v>
      </c>
      <c r="P20" s="295">
        <f t="shared" si="5"/>
        <v>0</v>
      </c>
      <c r="Q20" s="295">
        <f t="shared" si="5"/>
        <v>0</v>
      </c>
      <c r="R20" s="295">
        <f t="shared" si="5"/>
        <v>0</v>
      </c>
      <c r="S20" s="295">
        <f t="shared" si="5"/>
        <v>0</v>
      </c>
      <c r="T20" s="233">
        <f>SUM(H20:S20)</f>
        <v>0</v>
      </c>
    </row>
    <row r="21" spans="1:20" s="356" customFormat="1">
      <c r="A21" s="334"/>
      <c r="B21" s="334"/>
      <c r="C21" s="334" t="s">
        <v>409</v>
      </c>
      <c r="E21" s="364"/>
      <c r="F21" s="364"/>
      <c r="G21" s="364"/>
      <c r="H21" s="365">
        <f>+H$12*($E$7-'4.Cost of Goods-Svcs Sold'!$H$15)</f>
        <v>0</v>
      </c>
      <c r="I21" s="365">
        <f>+I$12*($E$7-'4.Cost of Goods-Svcs Sold'!$H$15)</f>
        <v>0</v>
      </c>
      <c r="J21" s="365">
        <f>+J$12*($E$7-'4.Cost of Goods-Svcs Sold'!$H$15)</f>
        <v>0</v>
      </c>
      <c r="K21" s="365">
        <f>+K$12*($E$7-'4.Cost of Goods-Svcs Sold'!$H$15)</f>
        <v>0</v>
      </c>
      <c r="L21" s="365">
        <f>+L$12*($E$7-'4.Cost of Goods-Svcs Sold'!$H$15)</f>
        <v>0</v>
      </c>
      <c r="M21" s="365">
        <f>+M$12*($E$7-'4.Cost of Goods-Svcs Sold'!$H$15)</f>
        <v>0</v>
      </c>
      <c r="N21" s="365">
        <f>+N$12*($E$7-'4.Cost of Goods-Svcs Sold'!$H$15)</f>
        <v>0</v>
      </c>
      <c r="O21" s="365">
        <f>+O$12*($E$7-'4.Cost of Goods-Svcs Sold'!$H$15)</f>
        <v>0</v>
      </c>
      <c r="P21" s="365">
        <f>+P$12*($E$7-'4.Cost of Goods-Svcs Sold'!$H$15)</f>
        <v>0</v>
      </c>
      <c r="Q21" s="365">
        <f>+Q$12*($E$7-'4.Cost of Goods-Svcs Sold'!$H$15)</f>
        <v>0</v>
      </c>
      <c r="R21" s="365">
        <f>+R$12*($E$7-'4.Cost of Goods-Svcs Sold'!$H$15)</f>
        <v>0</v>
      </c>
      <c r="S21" s="365">
        <f>+S$12*($E$7-'4.Cost of Goods-Svcs Sold'!$H$15)</f>
        <v>0</v>
      </c>
      <c r="T21" s="365"/>
    </row>
    <row r="22" spans="1:20">
      <c r="A22" s="1"/>
      <c r="B22" s="1" t="s">
        <v>32</v>
      </c>
      <c r="C22" s="1"/>
      <c r="D22" s="296"/>
      <c r="E22" s="307"/>
      <c r="F22" s="294"/>
      <c r="G22" s="294"/>
      <c r="H22" s="295">
        <f>+H13*$E$6</f>
        <v>0</v>
      </c>
      <c r="I22" s="295">
        <f t="shared" ref="I22:S22" si="6">+I13*$E$6</f>
        <v>0</v>
      </c>
      <c r="J22" s="295">
        <f t="shared" si="6"/>
        <v>0</v>
      </c>
      <c r="K22" s="295">
        <f t="shared" si="6"/>
        <v>0</v>
      </c>
      <c r="L22" s="295">
        <f t="shared" si="6"/>
        <v>0</v>
      </c>
      <c r="M22" s="295">
        <f t="shared" si="6"/>
        <v>0</v>
      </c>
      <c r="N22" s="295">
        <f t="shared" si="6"/>
        <v>0</v>
      </c>
      <c r="O22" s="295">
        <f t="shared" si="6"/>
        <v>0</v>
      </c>
      <c r="P22" s="295">
        <f t="shared" si="6"/>
        <v>0</v>
      </c>
      <c r="Q22" s="295">
        <f t="shared" si="6"/>
        <v>0</v>
      </c>
      <c r="R22" s="295">
        <f t="shared" si="6"/>
        <v>0</v>
      </c>
      <c r="S22" s="295">
        <f t="shared" si="6"/>
        <v>0</v>
      </c>
      <c r="T22" s="233">
        <f>SUM(H22:S22)</f>
        <v>0</v>
      </c>
    </row>
    <row r="23" spans="1:20">
      <c r="A23" s="1"/>
      <c r="B23" s="1" t="s">
        <v>391</v>
      </c>
      <c r="C23" s="1"/>
      <c r="D23" s="296"/>
      <c r="E23" s="308"/>
      <c r="F23" s="298"/>
      <c r="G23" s="298"/>
      <c r="H23" s="295">
        <f>+H13*$E$7</f>
        <v>0</v>
      </c>
      <c r="I23" s="295">
        <f t="shared" ref="I23:S23" si="7">+I13*$E$7</f>
        <v>0</v>
      </c>
      <c r="J23" s="295">
        <f t="shared" si="7"/>
        <v>0</v>
      </c>
      <c r="K23" s="295">
        <f t="shared" si="7"/>
        <v>0</v>
      </c>
      <c r="L23" s="295">
        <f t="shared" si="7"/>
        <v>0</v>
      </c>
      <c r="M23" s="295">
        <f t="shared" si="7"/>
        <v>0</v>
      </c>
      <c r="N23" s="295">
        <f t="shared" si="7"/>
        <v>0</v>
      </c>
      <c r="O23" s="295">
        <f t="shared" si="7"/>
        <v>0</v>
      </c>
      <c r="P23" s="295">
        <f t="shared" si="7"/>
        <v>0</v>
      </c>
      <c r="Q23" s="295">
        <f t="shared" si="7"/>
        <v>0</v>
      </c>
      <c r="R23" s="295">
        <f t="shared" si="7"/>
        <v>0</v>
      </c>
      <c r="S23" s="295">
        <f t="shared" si="7"/>
        <v>0</v>
      </c>
      <c r="T23" s="233">
        <f>SUM(H23:S23)</f>
        <v>0</v>
      </c>
    </row>
    <row r="24" spans="1:20" s="356" customFormat="1">
      <c r="C24" s="334" t="s">
        <v>409</v>
      </c>
      <c r="H24" s="365">
        <f>+H$13*($E$7-'4.Cost of Goods-Svcs Sold'!$H$15)</f>
        <v>0</v>
      </c>
      <c r="I24" s="365">
        <f>+I$13*($E$7-'4.Cost of Goods-Svcs Sold'!$H$15)</f>
        <v>0</v>
      </c>
      <c r="J24" s="365">
        <f>+J$13*($E$7-'4.Cost of Goods-Svcs Sold'!$H$15)</f>
        <v>0</v>
      </c>
      <c r="K24" s="365">
        <f>+K$13*($E$7-'4.Cost of Goods-Svcs Sold'!$H$15)</f>
        <v>0</v>
      </c>
      <c r="L24" s="365">
        <f>+L$13*($E$7-'4.Cost of Goods-Svcs Sold'!$H$15)</f>
        <v>0</v>
      </c>
      <c r="M24" s="365">
        <f>+M$13*($E$7-'4.Cost of Goods-Svcs Sold'!$H$15)</f>
        <v>0</v>
      </c>
      <c r="N24" s="365">
        <f>+N$13*($E$7-'4.Cost of Goods-Svcs Sold'!$H$15)</f>
        <v>0</v>
      </c>
      <c r="O24" s="365">
        <f>+O$13*($E$7-'4.Cost of Goods-Svcs Sold'!$H$15)</f>
        <v>0</v>
      </c>
      <c r="P24" s="365">
        <f>+P$13*($E$7-'4.Cost of Goods-Svcs Sold'!$H$15)</f>
        <v>0</v>
      </c>
      <c r="Q24" s="365">
        <f>+Q$13*($E$7-'4.Cost of Goods-Svcs Sold'!$H$15)</f>
        <v>0</v>
      </c>
      <c r="R24" s="365">
        <f>+R$13*($E$7-'4.Cost of Goods-Svcs Sold'!$H$15)</f>
        <v>0</v>
      </c>
      <c r="S24" s="365">
        <f>+S$13*($E$7-'4.Cost of Goods-Svcs Sold'!$H$15)</f>
        <v>0</v>
      </c>
      <c r="T24" s="365"/>
    </row>
    <row r="26" spans="1:20">
      <c r="A26" s="225" t="str">
        <f>+'4.Cost of Goods-Svcs Sold'!J14</f>
        <v>Product/Service 8</v>
      </c>
      <c r="B26" s="225"/>
      <c r="C26" s="225"/>
      <c r="D26" s="225"/>
      <c r="E26" s="294"/>
      <c r="F26" s="294"/>
      <c r="G26" s="294"/>
      <c r="H26" s="295"/>
      <c r="I26" s="295"/>
      <c r="J26" s="295"/>
      <c r="K26" s="295"/>
      <c r="L26" s="295"/>
      <c r="M26" s="295"/>
      <c r="N26" s="295"/>
      <c r="O26" s="295"/>
      <c r="P26" s="295"/>
      <c r="Q26" s="295"/>
      <c r="R26" s="295"/>
      <c r="S26" s="295"/>
    </row>
    <row r="27" spans="1:20">
      <c r="A27" s="1"/>
      <c r="B27" s="1" t="s">
        <v>276</v>
      </c>
      <c r="C27" s="1"/>
      <c r="D27" s="296"/>
      <c r="E27" s="297"/>
      <c r="F27" s="298">
        <v>1</v>
      </c>
      <c r="G27" s="298"/>
      <c r="H27" s="295"/>
      <c r="I27" s="295"/>
      <c r="J27" s="295"/>
      <c r="K27" s="295"/>
      <c r="L27" s="295"/>
      <c r="M27" s="295"/>
      <c r="N27" s="295"/>
      <c r="O27" s="295"/>
      <c r="P27" s="295"/>
      <c r="Q27" s="295"/>
      <c r="R27" s="295"/>
      <c r="S27" s="295"/>
    </row>
    <row r="28" spans="1:20">
      <c r="A28" s="1"/>
      <c r="B28" s="1" t="s">
        <v>403</v>
      </c>
      <c r="C28" s="1"/>
      <c r="D28" s="296"/>
      <c r="E28" s="397">
        <f>+'4.Cost of Goods-Svcs Sold'!K21</f>
        <v>0</v>
      </c>
      <c r="F28" s="299">
        <f>IF(E27&gt;0,E28/E27,0)</f>
        <v>0</v>
      </c>
      <c r="G28" s="298"/>
      <c r="H28" s="295"/>
      <c r="I28" s="295"/>
      <c r="J28" s="295"/>
      <c r="K28" s="295"/>
      <c r="L28" s="295"/>
      <c r="M28" s="295"/>
      <c r="N28" s="295"/>
      <c r="O28" s="295"/>
      <c r="P28" s="295"/>
      <c r="Q28" s="295"/>
      <c r="R28" s="295"/>
      <c r="S28" s="295"/>
    </row>
    <row r="29" spans="1:20">
      <c r="A29" s="1"/>
      <c r="B29" s="1" t="s">
        <v>289</v>
      </c>
      <c r="C29" s="1"/>
      <c r="D29" s="296"/>
      <c r="E29" s="300">
        <f>E27-E28</f>
        <v>0</v>
      </c>
      <c r="F29" s="298">
        <f>IF(E27&gt;0,E29/E27,0)</f>
        <v>0</v>
      </c>
      <c r="G29" s="298"/>
      <c r="H29" s="295"/>
      <c r="I29" s="295"/>
      <c r="J29" s="295"/>
      <c r="K29" s="295"/>
      <c r="L29" s="295"/>
      <c r="M29" s="295"/>
      <c r="N29" s="295"/>
      <c r="O29" s="295"/>
      <c r="P29" s="295"/>
      <c r="Q29" s="295"/>
      <c r="R29" s="295"/>
      <c r="S29" s="295"/>
    </row>
    <row r="30" spans="1:20">
      <c r="A30" s="1"/>
      <c r="B30" s="1" t="s">
        <v>282</v>
      </c>
      <c r="C30" s="1"/>
      <c r="D30" s="296"/>
      <c r="E30" s="294"/>
      <c r="F30" s="294"/>
      <c r="G30" s="294"/>
      <c r="H30" s="295"/>
      <c r="I30" s="295"/>
      <c r="J30" s="295"/>
      <c r="K30" s="295"/>
      <c r="L30" s="295"/>
      <c r="M30" s="295"/>
      <c r="N30" s="295"/>
      <c r="O30" s="295"/>
      <c r="P30" s="295"/>
      <c r="Q30" s="295"/>
      <c r="R30" s="295"/>
      <c r="S30" s="295"/>
    </row>
    <row r="31" spans="1:20" ht="12.75" thickBot="1">
      <c r="A31" s="1"/>
      <c r="B31" s="1"/>
      <c r="C31" s="1" t="s">
        <v>287</v>
      </c>
      <c r="D31" s="296"/>
      <c r="E31" s="294"/>
      <c r="F31" s="294"/>
      <c r="G31" s="294"/>
      <c r="H31" s="309">
        <f t="shared" ref="H31:S31" si="8">IF(H32=0,0,H32/$T32)</f>
        <v>0</v>
      </c>
      <c r="I31" s="309">
        <f t="shared" si="8"/>
        <v>0</v>
      </c>
      <c r="J31" s="309">
        <f t="shared" si="8"/>
        <v>0</v>
      </c>
      <c r="K31" s="309">
        <f t="shared" si="8"/>
        <v>0</v>
      </c>
      <c r="L31" s="309">
        <f t="shared" si="8"/>
        <v>0</v>
      </c>
      <c r="M31" s="309">
        <f t="shared" si="8"/>
        <v>0</v>
      </c>
      <c r="N31" s="309">
        <f t="shared" si="8"/>
        <v>0</v>
      </c>
      <c r="O31" s="309">
        <f t="shared" si="8"/>
        <v>0</v>
      </c>
      <c r="P31" s="309">
        <f t="shared" si="8"/>
        <v>0</v>
      </c>
      <c r="Q31" s="309">
        <f t="shared" si="8"/>
        <v>0</v>
      </c>
      <c r="R31" s="309">
        <f t="shared" si="8"/>
        <v>0</v>
      </c>
      <c r="S31" s="309">
        <f t="shared" si="8"/>
        <v>0</v>
      </c>
      <c r="T31" s="310">
        <f>SUM(H31:S31)</f>
        <v>0</v>
      </c>
    </row>
    <row r="32" spans="1:20">
      <c r="A32" s="1"/>
      <c r="B32" s="1"/>
      <c r="C32" s="1" t="str">
        <f>+$C$11</f>
        <v>Monthly Unit Sales Year 1</v>
      </c>
      <c r="D32" s="296"/>
      <c r="E32" s="294"/>
      <c r="F32" s="294"/>
      <c r="G32" s="294"/>
      <c r="H32" s="301"/>
      <c r="I32" s="301"/>
      <c r="J32" s="301"/>
      <c r="K32" s="301"/>
      <c r="L32" s="301"/>
      <c r="M32" s="301"/>
      <c r="N32" s="301"/>
      <c r="O32" s="301"/>
      <c r="P32" s="301"/>
      <c r="Q32" s="301"/>
      <c r="R32" s="301"/>
      <c r="S32" s="301"/>
      <c r="T32" s="233">
        <f>SUM(H32:S32)</f>
        <v>0</v>
      </c>
    </row>
    <row r="33" spans="1:20">
      <c r="A33" s="1"/>
      <c r="B33" s="1"/>
      <c r="C33" s="1" t="s">
        <v>404</v>
      </c>
      <c r="D33" s="296"/>
      <c r="E33" s="302">
        <v>0</v>
      </c>
      <c r="F33" s="303"/>
      <c r="G33" s="298"/>
      <c r="H33" s="313">
        <f>IF($E33=0,S32,ROUND((1+($E33/12))*S32,0))</f>
        <v>0</v>
      </c>
      <c r="I33" s="313">
        <f>IF($E33=0,H33,ROUND((1+($E33/12))*H33,0))</f>
        <v>0</v>
      </c>
      <c r="J33" s="313">
        <f t="shared" ref="J33:S34" si="9">IF($E33=0,I33,ROUND((1+($E33/12))*I33,0))</f>
        <v>0</v>
      </c>
      <c r="K33" s="313">
        <f t="shared" si="9"/>
        <v>0</v>
      </c>
      <c r="L33" s="313">
        <f t="shared" si="9"/>
        <v>0</v>
      </c>
      <c r="M33" s="313">
        <f t="shared" si="9"/>
        <v>0</v>
      </c>
      <c r="N33" s="313">
        <f t="shared" si="9"/>
        <v>0</v>
      </c>
      <c r="O33" s="313">
        <f t="shared" si="9"/>
        <v>0</v>
      </c>
      <c r="P33" s="313">
        <f t="shared" si="9"/>
        <v>0</v>
      </c>
      <c r="Q33" s="313">
        <f t="shared" si="9"/>
        <v>0</v>
      </c>
      <c r="R33" s="313">
        <f t="shared" si="9"/>
        <v>0</v>
      </c>
      <c r="S33" s="313">
        <f t="shared" si="9"/>
        <v>0</v>
      </c>
      <c r="T33" s="233">
        <f>SUM(H33:S33)</f>
        <v>0</v>
      </c>
    </row>
    <row r="34" spans="1:20">
      <c r="A34" s="296"/>
      <c r="B34" s="1"/>
      <c r="C34" s="1" t="s">
        <v>405</v>
      </c>
      <c r="D34" s="296"/>
      <c r="E34" s="302">
        <v>0</v>
      </c>
      <c r="F34" s="294"/>
      <c r="G34" s="298"/>
      <c r="H34" s="313">
        <f>IF($E34=0,S33,ROUND((1+($E34/12))*S33,0))</f>
        <v>0</v>
      </c>
      <c r="I34" s="313">
        <f>IF($E34=0,H34,ROUND((1+($E34/12))*H34,0))</f>
        <v>0</v>
      </c>
      <c r="J34" s="313">
        <f t="shared" si="9"/>
        <v>0</v>
      </c>
      <c r="K34" s="313">
        <f t="shared" si="9"/>
        <v>0</v>
      </c>
      <c r="L34" s="313">
        <f t="shared" si="9"/>
        <v>0</v>
      </c>
      <c r="M34" s="313">
        <f t="shared" si="9"/>
        <v>0</v>
      </c>
      <c r="N34" s="313">
        <f t="shared" si="9"/>
        <v>0</v>
      </c>
      <c r="O34" s="313">
        <f t="shared" si="9"/>
        <v>0</v>
      </c>
      <c r="P34" s="313">
        <f t="shared" si="9"/>
        <v>0</v>
      </c>
      <c r="Q34" s="313">
        <f t="shared" si="9"/>
        <v>0</v>
      </c>
      <c r="R34" s="313">
        <f t="shared" si="9"/>
        <v>0</v>
      </c>
      <c r="S34" s="313">
        <f t="shared" si="9"/>
        <v>0</v>
      </c>
      <c r="T34" s="233">
        <f>SUM(H34:S34)</f>
        <v>0</v>
      </c>
    </row>
    <row r="35" spans="1:20">
      <c r="A35" s="296"/>
      <c r="B35" s="344" t="s">
        <v>115</v>
      </c>
      <c r="C35" s="1"/>
      <c r="D35" s="296"/>
      <c r="E35" s="302"/>
      <c r="F35" s="294"/>
      <c r="G35" s="298"/>
      <c r="H35" s="304"/>
      <c r="I35" s="304"/>
      <c r="J35" s="304"/>
      <c r="K35" s="304"/>
      <c r="L35" s="304"/>
      <c r="M35" s="304"/>
      <c r="N35" s="304"/>
      <c r="O35" s="304"/>
      <c r="P35" s="304"/>
      <c r="Q35" s="304"/>
      <c r="R35" s="304"/>
      <c r="S35" s="304"/>
    </row>
    <row r="36" spans="1:20">
      <c r="A36" s="296"/>
      <c r="B36" s="1"/>
      <c r="C36" s="1"/>
      <c r="D36" s="296"/>
      <c r="E36" s="294"/>
      <c r="F36" s="294"/>
      <c r="G36" s="294"/>
      <c r="H36" s="295"/>
      <c r="I36" s="295"/>
      <c r="J36" s="295"/>
      <c r="K36" s="295"/>
      <c r="L36" s="295"/>
      <c r="M36" s="295"/>
      <c r="N36" s="295"/>
      <c r="O36" s="295"/>
      <c r="P36" s="295"/>
      <c r="Q36" s="295"/>
      <c r="R36" s="295"/>
      <c r="S36" s="295"/>
    </row>
    <row r="37" spans="1:20">
      <c r="A37" s="296"/>
      <c r="B37" s="1" t="s">
        <v>28</v>
      </c>
      <c r="C37" s="1"/>
      <c r="D37" s="296"/>
      <c r="E37" s="305">
        <f>T32*E27</f>
        <v>0</v>
      </c>
      <c r="F37" s="298"/>
      <c r="G37" s="294"/>
      <c r="H37" s="295">
        <f>+H32*$E$27</f>
        <v>0</v>
      </c>
      <c r="I37" s="295">
        <f t="shared" ref="I37:S37" si="10">+I32*$E$27</f>
        <v>0</v>
      </c>
      <c r="J37" s="295">
        <f t="shared" si="10"/>
        <v>0</v>
      </c>
      <c r="K37" s="295">
        <f t="shared" si="10"/>
        <v>0</v>
      </c>
      <c r="L37" s="295">
        <f t="shared" si="10"/>
        <v>0</v>
      </c>
      <c r="M37" s="295">
        <f t="shared" si="10"/>
        <v>0</v>
      </c>
      <c r="N37" s="295">
        <f t="shared" si="10"/>
        <v>0</v>
      </c>
      <c r="O37" s="295">
        <f t="shared" si="10"/>
        <v>0</v>
      </c>
      <c r="P37" s="295">
        <f t="shared" si="10"/>
        <v>0</v>
      </c>
      <c r="Q37" s="295">
        <f t="shared" si="10"/>
        <v>0</v>
      </c>
      <c r="R37" s="295">
        <f t="shared" si="10"/>
        <v>0</v>
      </c>
      <c r="S37" s="295">
        <f t="shared" si="10"/>
        <v>0</v>
      </c>
      <c r="T37" s="233">
        <f>SUM(H37:S37)</f>
        <v>0</v>
      </c>
    </row>
    <row r="38" spans="1:20">
      <c r="A38" s="296"/>
      <c r="B38" s="1" t="s">
        <v>389</v>
      </c>
      <c r="C38" s="1"/>
      <c r="D38" s="296"/>
      <c r="E38" s="306">
        <f>E28*T32</f>
        <v>0</v>
      </c>
      <c r="F38" s="298"/>
      <c r="G38" s="294"/>
      <c r="H38" s="295">
        <f>+H32*$E$28</f>
        <v>0</v>
      </c>
      <c r="I38" s="295">
        <f t="shared" ref="I38:S38" si="11">+I32*$E$28</f>
        <v>0</v>
      </c>
      <c r="J38" s="295">
        <f t="shared" si="11"/>
        <v>0</v>
      </c>
      <c r="K38" s="295">
        <f t="shared" si="11"/>
        <v>0</v>
      </c>
      <c r="L38" s="295">
        <f t="shared" si="11"/>
        <v>0</v>
      </c>
      <c r="M38" s="295">
        <f t="shared" si="11"/>
        <v>0</v>
      </c>
      <c r="N38" s="295">
        <f t="shared" si="11"/>
        <v>0</v>
      </c>
      <c r="O38" s="295">
        <f t="shared" si="11"/>
        <v>0</v>
      </c>
      <c r="P38" s="295">
        <f t="shared" si="11"/>
        <v>0</v>
      </c>
      <c r="Q38" s="295">
        <f t="shared" si="11"/>
        <v>0</v>
      </c>
      <c r="R38" s="295">
        <f t="shared" si="11"/>
        <v>0</v>
      </c>
      <c r="S38" s="295">
        <f t="shared" si="11"/>
        <v>0</v>
      </c>
      <c r="T38" s="233">
        <f>SUM(H38:S38)</f>
        <v>0</v>
      </c>
    </row>
    <row r="39" spans="1:20">
      <c r="A39" s="1"/>
      <c r="B39" s="356"/>
      <c r="C39" s="334" t="s">
        <v>409</v>
      </c>
      <c r="D39" s="356"/>
      <c r="E39" s="306"/>
      <c r="F39" s="298"/>
      <c r="G39" s="294"/>
      <c r="H39" s="365">
        <f>+H32*($E$28-'4.Cost of Goods-Svcs Sold'!$K$15)</f>
        <v>0</v>
      </c>
      <c r="I39" s="365">
        <f>+I32*($E$28-'4.Cost of Goods-Svcs Sold'!$K$15)</f>
        <v>0</v>
      </c>
      <c r="J39" s="365">
        <f>+J32*($E$28-'4.Cost of Goods-Svcs Sold'!$K$15)</f>
        <v>0</v>
      </c>
      <c r="K39" s="365">
        <f>+K32*($E$28-'4.Cost of Goods-Svcs Sold'!$K$15)</f>
        <v>0</v>
      </c>
      <c r="L39" s="365">
        <f>+L32*($E$28-'4.Cost of Goods-Svcs Sold'!$K$15)</f>
        <v>0</v>
      </c>
      <c r="M39" s="365">
        <f>+M32*($E$28-'4.Cost of Goods-Svcs Sold'!$K$15)</f>
        <v>0</v>
      </c>
      <c r="N39" s="365">
        <f>+N32*($E$28-'4.Cost of Goods-Svcs Sold'!$K$15)</f>
        <v>0</v>
      </c>
      <c r="O39" s="365">
        <f>+O32*($E$28-'4.Cost of Goods-Svcs Sold'!$K$15)</f>
        <v>0</v>
      </c>
      <c r="P39" s="365">
        <f>+P32*($E$28-'4.Cost of Goods-Svcs Sold'!$K$15)</f>
        <v>0</v>
      </c>
      <c r="Q39" s="365">
        <f>+Q32*($E$28-'4.Cost of Goods-Svcs Sold'!$K$15)</f>
        <v>0</v>
      </c>
      <c r="R39" s="365">
        <f>+R32*($E$28-'4.Cost of Goods-Svcs Sold'!$K$15)</f>
        <v>0</v>
      </c>
      <c r="S39" s="365">
        <f>+S32*($E$28-'4.Cost of Goods-Svcs Sold'!$K$15)</f>
        <v>0</v>
      </c>
    </row>
    <row r="40" spans="1:20">
      <c r="A40" s="1"/>
      <c r="B40" s="1" t="s">
        <v>30</v>
      </c>
      <c r="C40" s="1"/>
      <c r="D40" s="296"/>
      <c r="E40" s="306"/>
      <c r="F40" s="298"/>
      <c r="G40" s="298"/>
      <c r="H40" s="295">
        <f>+H33*$E27</f>
        <v>0</v>
      </c>
      <c r="I40" s="295">
        <f t="shared" ref="I40:S40" si="12">+I33*$E27</f>
        <v>0</v>
      </c>
      <c r="J40" s="295">
        <f t="shared" si="12"/>
        <v>0</v>
      </c>
      <c r="K40" s="295">
        <f t="shared" si="12"/>
        <v>0</v>
      </c>
      <c r="L40" s="295">
        <f t="shared" si="12"/>
        <v>0</v>
      </c>
      <c r="M40" s="295">
        <f t="shared" si="12"/>
        <v>0</v>
      </c>
      <c r="N40" s="295">
        <f t="shared" si="12"/>
        <v>0</v>
      </c>
      <c r="O40" s="295">
        <f t="shared" si="12"/>
        <v>0</v>
      </c>
      <c r="P40" s="295">
        <f t="shared" si="12"/>
        <v>0</v>
      </c>
      <c r="Q40" s="295">
        <f t="shared" si="12"/>
        <v>0</v>
      </c>
      <c r="R40" s="295">
        <f t="shared" si="12"/>
        <v>0</v>
      </c>
      <c r="S40" s="295">
        <f t="shared" si="12"/>
        <v>0</v>
      </c>
      <c r="T40" s="233">
        <f>SUM(H40:S40)</f>
        <v>0</v>
      </c>
    </row>
    <row r="41" spans="1:20">
      <c r="A41" s="1"/>
      <c r="B41" s="1" t="s">
        <v>390</v>
      </c>
      <c r="C41" s="1"/>
      <c r="D41" s="296"/>
      <c r="E41" s="306"/>
      <c r="F41" s="298"/>
      <c r="G41" s="298"/>
      <c r="H41" s="295">
        <f>+H33*$E28</f>
        <v>0</v>
      </c>
      <c r="I41" s="295">
        <f t="shared" ref="I41:S41" si="13">+I33*$E28</f>
        <v>0</v>
      </c>
      <c r="J41" s="295">
        <f t="shared" si="13"/>
        <v>0</v>
      </c>
      <c r="K41" s="295">
        <f t="shared" si="13"/>
        <v>0</v>
      </c>
      <c r="L41" s="295">
        <f t="shared" si="13"/>
        <v>0</v>
      </c>
      <c r="M41" s="295">
        <f t="shared" si="13"/>
        <v>0</v>
      </c>
      <c r="N41" s="295">
        <f t="shared" si="13"/>
        <v>0</v>
      </c>
      <c r="O41" s="295">
        <f t="shared" si="13"/>
        <v>0</v>
      </c>
      <c r="P41" s="295">
        <f t="shared" si="13"/>
        <v>0</v>
      </c>
      <c r="Q41" s="295">
        <f t="shared" si="13"/>
        <v>0</v>
      </c>
      <c r="R41" s="295">
        <f t="shared" si="13"/>
        <v>0</v>
      </c>
      <c r="S41" s="295">
        <f t="shared" si="13"/>
        <v>0</v>
      </c>
      <c r="T41" s="233">
        <f>SUM(H41:S41)</f>
        <v>0</v>
      </c>
    </row>
    <row r="42" spans="1:20">
      <c r="A42" s="1"/>
      <c r="B42" s="334"/>
      <c r="C42" s="334" t="s">
        <v>409</v>
      </c>
      <c r="D42" s="356"/>
      <c r="E42" s="294"/>
      <c r="F42" s="294"/>
      <c r="G42" s="294"/>
      <c r="H42" s="365">
        <f>+H33*($E$28-'4.Cost of Goods-Svcs Sold'!$K$15)</f>
        <v>0</v>
      </c>
      <c r="I42" s="365">
        <f>+I33*($E$28-'4.Cost of Goods-Svcs Sold'!$K$15)</f>
        <v>0</v>
      </c>
      <c r="J42" s="365">
        <f>+J33*($E$28-'4.Cost of Goods-Svcs Sold'!$K$15)</f>
        <v>0</v>
      </c>
      <c r="K42" s="365">
        <f>+K33*($E$28-'4.Cost of Goods-Svcs Sold'!$K$15)</f>
        <v>0</v>
      </c>
      <c r="L42" s="365">
        <f>+L33*($E$28-'4.Cost of Goods-Svcs Sold'!$K$15)</f>
        <v>0</v>
      </c>
      <c r="M42" s="365">
        <f>+M33*($E$28-'4.Cost of Goods-Svcs Sold'!$K$15)</f>
        <v>0</v>
      </c>
      <c r="N42" s="365">
        <f>+N33*($E$28-'4.Cost of Goods-Svcs Sold'!$K$15)</f>
        <v>0</v>
      </c>
      <c r="O42" s="365">
        <f>+O33*($E$28-'4.Cost of Goods-Svcs Sold'!$K$15)</f>
        <v>0</v>
      </c>
      <c r="P42" s="365">
        <f>+P33*($E$28-'4.Cost of Goods-Svcs Sold'!$K$15)</f>
        <v>0</v>
      </c>
      <c r="Q42" s="365">
        <f>+Q33*($E$28-'4.Cost of Goods-Svcs Sold'!$K$15)</f>
        <v>0</v>
      </c>
      <c r="R42" s="365">
        <f>+R33*($E$28-'4.Cost of Goods-Svcs Sold'!$K$15)</f>
        <v>0</v>
      </c>
      <c r="S42" s="365">
        <f>+S33*($E$28-'4.Cost of Goods-Svcs Sold'!$K$15)</f>
        <v>0</v>
      </c>
    </row>
    <row r="43" spans="1:20">
      <c r="A43" s="1"/>
      <c r="B43" s="1" t="s">
        <v>32</v>
      </c>
      <c r="C43" s="1"/>
      <c r="D43" s="296"/>
      <c r="E43" s="307"/>
      <c r="F43" s="294"/>
      <c r="G43" s="294"/>
      <c r="H43" s="295">
        <f>+H34*$E27</f>
        <v>0</v>
      </c>
      <c r="I43" s="295">
        <f t="shared" ref="I43:S43" si="14">+I34*$E27</f>
        <v>0</v>
      </c>
      <c r="J43" s="295">
        <f t="shared" si="14"/>
        <v>0</v>
      </c>
      <c r="K43" s="295">
        <f t="shared" si="14"/>
        <v>0</v>
      </c>
      <c r="L43" s="295">
        <f t="shared" si="14"/>
        <v>0</v>
      </c>
      <c r="M43" s="295">
        <f t="shared" si="14"/>
        <v>0</v>
      </c>
      <c r="N43" s="295">
        <f t="shared" si="14"/>
        <v>0</v>
      </c>
      <c r="O43" s="295">
        <f t="shared" si="14"/>
        <v>0</v>
      </c>
      <c r="P43" s="295">
        <f t="shared" si="14"/>
        <v>0</v>
      </c>
      <c r="Q43" s="295">
        <f t="shared" si="14"/>
        <v>0</v>
      </c>
      <c r="R43" s="295">
        <f t="shared" si="14"/>
        <v>0</v>
      </c>
      <c r="S43" s="295">
        <f t="shared" si="14"/>
        <v>0</v>
      </c>
      <c r="T43" s="233">
        <f>SUM(H43:S43)</f>
        <v>0</v>
      </c>
    </row>
    <row r="44" spans="1:20">
      <c r="A44" s="1"/>
      <c r="B44" s="1" t="s">
        <v>391</v>
      </c>
      <c r="C44" s="1"/>
      <c r="D44" s="296"/>
      <c r="E44" s="308"/>
      <c r="F44" s="298"/>
      <c r="G44" s="298"/>
      <c r="H44" s="295">
        <f>+H34*$E28</f>
        <v>0</v>
      </c>
      <c r="I44" s="295">
        <f t="shared" ref="I44:S44" si="15">+I34*$E28</f>
        <v>0</v>
      </c>
      <c r="J44" s="295">
        <f t="shared" si="15"/>
        <v>0</v>
      </c>
      <c r="K44" s="295">
        <f t="shared" si="15"/>
        <v>0</v>
      </c>
      <c r="L44" s="295">
        <f t="shared" si="15"/>
        <v>0</v>
      </c>
      <c r="M44" s="295">
        <f t="shared" si="15"/>
        <v>0</v>
      </c>
      <c r="N44" s="295">
        <f t="shared" si="15"/>
        <v>0</v>
      </c>
      <c r="O44" s="295">
        <f t="shared" si="15"/>
        <v>0</v>
      </c>
      <c r="P44" s="295">
        <f t="shared" si="15"/>
        <v>0</v>
      </c>
      <c r="Q44" s="295">
        <f t="shared" si="15"/>
        <v>0</v>
      </c>
      <c r="R44" s="295">
        <f t="shared" si="15"/>
        <v>0</v>
      </c>
      <c r="S44" s="295">
        <f t="shared" si="15"/>
        <v>0</v>
      </c>
      <c r="T44" s="233">
        <f>SUM(H44:S44)</f>
        <v>0</v>
      </c>
    </row>
    <row r="45" spans="1:20">
      <c r="B45" s="356"/>
      <c r="C45" s="334" t="s">
        <v>409</v>
      </c>
      <c r="D45" s="356"/>
      <c r="E45" s="308"/>
      <c r="F45" s="298"/>
      <c r="G45" s="298"/>
      <c r="H45" s="365">
        <f>+H34*($E$28-'4.Cost of Goods-Svcs Sold'!$K$15)</f>
        <v>0</v>
      </c>
      <c r="I45" s="365">
        <f>+I34*($E$28-'4.Cost of Goods-Svcs Sold'!$K$15)</f>
        <v>0</v>
      </c>
      <c r="J45" s="365">
        <f>+J34*($E$28-'4.Cost of Goods-Svcs Sold'!$K$15)</f>
        <v>0</v>
      </c>
      <c r="K45" s="365">
        <f>+K34*($E$28-'4.Cost of Goods-Svcs Sold'!$K$15)</f>
        <v>0</v>
      </c>
      <c r="L45" s="365">
        <f>+L34*($E$28-'4.Cost of Goods-Svcs Sold'!$K$15)</f>
        <v>0</v>
      </c>
      <c r="M45" s="365">
        <f>+M34*($E$28-'4.Cost of Goods-Svcs Sold'!$K$15)</f>
        <v>0</v>
      </c>
      <c r="N45" s="365">
        <f>+N34*($E$28-'4.Cost of Goods-Svcs Sold'!$K$15)</f>
        <v>0</v>
      </c>
      <c r="O45" s="365">
        <f>+O34*($E$28-'4.Cost of Goods-Svcs Sold'!$K$15)</f>
        <v>0</v>
      </c>
      <c r="P45" s="365">
        <f>+P34*($E$28-'4.Cost of Goods-Svcs Sold'!$K$15)</f>
        <v>0</v>
      </c>
      <c r="Q45" s="365">
        <f>+Q34*($E$28-'4.Cost of Goods-Svcs Sold'!$K$15)</f>
        <v>0</v>
      </c>
      <c r="R45" s="365">
        <f>+R34*($E$28-'4.Cost of Goods-Svcs Sold'!$K$15)</f>
        <v>0</v>
      </c>
      <c r="S45" s="365">
        <f>+S34*($E$28-'4.Cost of Goods-Svcs Sold'!$K$15)</f>
        <v>0</v>
      </c>
    </row>
    <row r="47" spans="1:20">
      <c r="A47" s="225" t="str">
        <f>+'4.Cost of Goods-Svcs Sold'!A24</f>
        <v>Product/Service 9</v>
      </c>
      <c r="B47" s="225"/>
      <c r="C47" s="225"/>
      <c r="D47" s="225"/>
      <c r="E47" s="294"/>
      <c r="F47" s="294"/>
      <c r="G47" s="294"/>
      <c r="H47" s="295"/>
      <c r="I47" s="295"/>
      <c r="J47" s="295"/>
      <c r="K47" s="295"/>
      <c r="L47" s="295"/>
      <c r="M47" s="295"/>
      <c r="N47" s="295"/>
      <c r="O47" s="295"/>
      <c r="P47" s="295"/>
      <c r="Q47" s="295"/>
      <c r="R47" s="295"/>
      <c r="S47" s="295"/>
    </row>
    <row r="48" spans="1:20">
      <c r="A48" s="1"/>
      <c r="B48" s="1" t="s">
        <v>276</v>
      </c>
      <c r="C48" s="1"/>
      <c r="D48" s="296"/>
      <c r="E48" s="297"/>
      <c r="F48" s="298">
        <v>1</v>
      </c>
      <c r="G48" s="298"/>
      <c r="H48" s="295"/>
      <c r="I48" s="295"/>
      <c r="J48" s="295"/>
      <c r="K48" s="295"/>
      <c r="L48" s="295"/>
      <c r="M48" s="295"/>
      <c r="N48" s="295"/>
      <c r="O48" s="295"/>
      <c r="P48" s="295"/>
      <c r="Q48" s="295"/>
      <c r="R48" s="295"/>
      <c r="S48" s="295"/>
    </row>
    <row r="49" spans="1:20">
      <c r="A49" s="1"/>
      <c r="B49" s="1" t="s">
        <v>403</v>
      </c>
      <c r="C49" s="1"/>
      <c r="D49" s="296"/>
      <c r="E49" s="397">
        <f>+'4.Cost of Goods-Svcs Sold'!B31</f>
        <v>0</v>
      </c>
      <c r="F49" s="299">
        <f>IF(E48&gt;0,E49/E48,0)</f>
        <v>0</v>
      </c>
      <c r="G49" s="298"/>
      <c r="H49" s="295"/>
      <c r="I49" s="295"/>
      <c r="J49" s="295"/>
      <c r="K49" s="295"/>
      <c r="L49" s="295"/>
      <c r="M49" s="295"/>
      <c r="N49" s="295"/>
      <c r="O49" s="295"/>
      <c r="P49" s="295"/>
      <c r="Q49" s="295"/>
      <c r="R49" s="295"/>
      <c r="S49" s="295"/>
    </row>
    <row r="50" spans="1:20">
      <c r="A50" s="1"/>
      <c r="B50" s="1" t="s">
        <v>289</v>
      </c>
      <c r="C50" s="1"/>
      <c r="D50" s="296"/>
      <c r="E50" s="300">
        <f>E48-E49</f>
        <v>0</v>
      </c>
      <c r="F50" s="298">
        <f>IF(E48&gt;0,E50/E48,0)</f>
        <v>0</v>
      </c>
      <c r="G50" s="298"/>
      <c r="H50" s="295"/>
      <c r="I50" s="295"/>
      <c r="J50" s="295"/>
      <c r="K50" s="295"/>
      <c r="L50" s="295"/>
      <c r="M50" s="295"/>
      <c r="N50" s="295"/>
      <c r="O50" s="295"/>
      <c r="P50" s="295"/>
      <c r="Q50" s="295"/>
      <c r="R50" s="295"/>
      <c r="S50" s="295"/>
    </row>
    <row r="51" spans="1:20">
      <c r="A51" s="1"/>
      <c r="B51" s="1" t="s">
        <v>282</v>
      </c>
      <c r="C51" s="1"/>
      <c r="D51" s="296"/>
      <c r="E51" s="294"/>
      <c r="F51" s="294"/>
      <c r="G51" s="294"/>
      <c r="H51" s="295"/>
      <c r="I51" s="295"/>
      <c r="J51" s="295"/>
      <c r="K51" s="295"/>
      <c r="L51" s="295"/>
      <c r="M51" s="295"/>
      <c r="N51" s="295"/>
      <c r="O51" s="295"/>
      <c r="P51" s="295"/>
      <c r="Q51" s="295"/>
      <c r="R51" s="295"/>
      <c r="S51" s="295"/>
    </row>
    <row r="52" spans="1:20" ht="12.75" thickBot="1">
      <c r="A52" s="1"/>
      <c r="B52" s="1"/>
      <c r="C52" s="1" t="s">
        <v>287</v>
      </c>
      <c r="D52" s="296"/>
      <c r="E52" s="294"/>
      <c r="F52" s="294"/>
      <c r="G52" s="294"/>
      <c r="H52" s="309">
        <f t="shared" ref="H52:S52" si="16">IF(H53=0,0,H53/$T53)</f>
        <v>0</v>
      </c>
      <c r="I52" s="309">
        <f t="shared" si="16"/>
        <v>0</v>
      </c>
      <c r="J52" s="309">
        <f t="shared" si="16"/>
        <v>0</v>
      </c>
      <c r="K52" s="309">
        <f t="shared" si="16"/>
        <v>0</v>
      </c>
      <c r="L52" s="309">
        <f t="shared" si="16"/>
        <v>0</v>
      </c>
      <c r="M52" s="309">
        <f t="shared" si="16"/>
        <v>0</v>
      </c>
      <c r="N52" s="309">
        <f t="shared" si="16"/>
        <v>0</v>
      </c>
      <c r="O52" s="309">
        <f t="shared" si="16"/>
        <v>0</v>
      </c>
      <c r="P52" s="309">
        <f t="shared" si="16"/>
        <v>0</v>
      </c>
      <c r="Q52" s="309">
        <f t="shared" si="16"/>
        <v>0</v>
      </c>
      <c r="R52" s="309">
        <f t="shared" si="16"/>
        <v>0</v>
      </c>
      <c r="S52" s="309">
        <f t="shared" si="16"/>
        <v>0</v>
      </c>
      <c r="T52" s="310">
        <f>SUM(H52:S52)</f>
        <v>0</v>
      </c>
    </row>
    <row r="53" spans="1:20">
      <c r="A53" s="1"/>
      <c r="B53" s="1"/>
      <c r="C53" s="1" t="str">
        <f>+$C$11</f>
        <v>Monthly Unit Sales Year 1</v>
      </c>
      <c r="D53" s="296"/>
      <c r="E53" s="294"/>
      <c r="F53" s="294"/>
      <c r="G53" s="294"/>
      <c r="H53" s="301"/>
      <c r="I53" s="301"/>
      <c r="J53" s="301"/>
      <c r="K53" s="301"/>
      <c r="L53" s="301"/>
      <c r="M53" s="301"/>
      <c r="N53" s="301"/>
      <c r="O53" s="301"/>
      <c r="P53" s="301"/>
      <c r="Q53" s="301"/>
      <c r="R53" s="301"/>
      <c r="S53" s="301"/>
      <c r="T53" s="233">
        <f>SUM(H53:S53)</f>
        <v>0</v>
      </c>
    </row>
    <row r="54" spans="1:20">
      <c r="A54" s="1"/>
      <c r="B54" s="1"/>
      <c r="C54" s="1" t="s">
        <v>404</v>
      </c>
      <c r="D54" s="296"/>
      <c r="E54" s="302">
        <v>0</v>
      </c>
      <c r="F54" s="303"/>
      <c r="G54" s="298"/>
      <c r="H54" s="313">
        <f>IF($E54=0,S53,ROUND((1+($E54/12))*S53,0))</f>
        <v>0</v>
      </c>
      <c r="I54" s="313">
        <f>IF($E54=0,H54,ROUND((1+($E54/12))*H54,0))</f>
        <v>0</v>
      </c>
      <c r="J54" s="313">
        <f t="shared" ref="J54:S55" si="17">IF($E54=0,I54,ROUND((1+($E54/12))*I54,0))</f>
        <v>0</v>
      </c>
      <c r="K54" s="313">
        <f t="shared" si="17"/>
        <v>0</v>
      </c>
      <c r="L54" s="313">
        <f t="shared" si="17"/>
        <v>0</v>
      </c>
      <c r="M54" s="313">
        <f t="shared" si="17"/>
        <v>0</v>
      </c>
      <c r="N54" s="313">
        <f t="shared" si="17"/>
        <v>0</v>
      </c>
      <c r="O54" s="313">
        <f t="shared" si="17"/>
        <v>0</v>
      </c>
      <c r="P54" s="313">
        <f t="shared" si="17"/>
        <v>0</v>
      </c>
      <c r="Q54" s="313">
        <f t="shared" si="17"/>
        <v>0</v>
      </c>
      <c r="R54" s="313">
        <f t="shared" si="17"/>
        <v>0</v>
      </c>
      <c r="S54" s="313">
        <f t="shared" si="17"/>
        <v>0</v>
      </c>
      <c r="T54" s="233">
        <f>SUM(H54:S54)</f>
        <v>0</v>
      </c>
    </row>
    <row r="55" spans="1:20">
      <c r="A55" s="296"/>
      <c r="B55" s="1"/>
      <c r="C55" s="1" t="s">
        <v>405</v>
      </c>
      <c r="D55" s="296"/>
      <c r="E55" s="302">
        <v>0</v>
      </c>
      <c r="F55" s="294"/>
      <c r="G55" s="298"/>
      <c r="H55" s="313">
        <f>IF($E55=0,S54,ROUND((1+($E55/12))*S54,0))</f>
        <v>0</v>
      </c>
      <c r="I55" s="313">
        <f>IF($E55=0,H55,ROUND((1+($E55/12))*H55,0))</f>
        <v>0</v>
      </c>
      <c r="J55" s="313">
        <f t="shared" si="17"/>
        <v>0</v>
      </c>
      <c r="K55" s="313">
        <f t="shared" si="17"/>
        <v>0</v>
      </c>
      <c r="L55" s="313">
        <f t="shared" si="17"/>
        <v>0</v>
      </c>
      <c r="M55" s="313">
        <f t="shared" si="17"/>
        <v>0</v>
      </c>
      <c r="N55" s="313">
        <f t="shared" si="17"/>
        <v>0</v>
      </c>
      <c r="O55" s="313">
        <f t="shared" si="17"/>
        <v>0</v>
      </c>
      <c r="P55" s="313">
        <f t="shared" si="17"/>
        <v>0</v>
      </c>
      <c r="Q55" s="313">
        <f t="shared" si="17"/>
        <v>0</v>
      </c>
      <c r="R55" s="313">
        <f t="shared" si="17"/>
        <v>0</v>
      </c>
      <c r="S55" s="313">
        <f t="shared" si="17"/>
        <v>0</v>
      </c>
      <c r="T55" s="233">
        <f>SUM(H55:S55)</f>
        <v>0</v>
      </c>
    </row>
    <row r="56" spans="1:20">
      <c r="A56" s="296"/>
      <c r="B56" s="344" t="s">
        <v>115</v>
      </c>
      <c r="C56" s="1"/>
      <c r="D56" s="296"/>
      <c r="E56" s="302"/>
      <c r="F56" s="294"/>
      <c r="G56" s="298"/>
      <c r="H56" s="304"/>
      <c r="I56" s="304"/>
      <c r="J56" s="304"/>
      <c r="K56" s="304"/>
      <c r="L56" s="304"/>
      <c r="M56" s="304"/>
      <c r="N56" s="304"/>
      <c r="O56" s="304"/>
      <c r="P56" s="304"/>
      <c r="Q56" s="304"/>
      <c r="R56" s="304"/>
      <c r="S56" s="304"/>
    </row>
    <row r="57" spans="1:20">
      <c r="A57" s="296"/>
      <c r="B57" s="1"/>
      <c r="C57" s="1"/>
      <c r="D57" s="296"/>
      <c r="E57" s="294"/>
      <c r="F57" s="294"/>
      <c r="G57" s="294"/>
      <c r="H57" s="295"/>
      <c r="I57" s="295"/>
      <c r="J57" s="295"/>
      <c r="K57" s="295"/>
      <c r="L57" s="295"/>
      <c r="M57" s="295"/>
      <c r="N57" s="295"/>
      <c r="O57" s="295"/>
      <c r="P57" s="295"/>
      <c r="Q57" s="295"/>
      <c r="R57" s="295"/>
      <c r="S57" s="295"/>
    </row>
    <row r="58" spans="1:20">
      <c r="A58" s="296"/>
      <c r="B58" s="1" t="s">
        <v>28</v>
      </c>
      <c r="C58" s="1"/>
      <c r="D58" s="296"/>
      <c r="E58" s="305">
        <f>T53*E48</f>
        <v>0</v>
      </c>
      <c r="F58" s="298"/>
      <c r="G58" s="294"/>
      <c r="H58" s="295">
        <f>+H53*$E48</f>
        <v>0</v>
      </c>
      <c r="I58" s="295">
        <f t="shared" ref="I58:S58" si="18">+I53*$E48</f>
        <v>0</v>
      </c>
      <c r="J58" s="295">
        <f t="shared" si="18"/>
        <v>0</v>
      </c>
      <c r="K58" s="295">
        <f t="shared" si="18"/>
        <v>0</v>
      </c>
      <c r="L58" s="295">
        <f t="shared" si="18"/>
        <v>0</v>
      </c>
      <c r="M58" s="295">
        <f t="shared" si="18"/>
        <v>0</v>
      </c>
      <c r="N58" s="295">
        <f t="shared" si="18"/>
        <v>0</v>
      </c>
      <c r="O58" s="295">
        <f t="shared" si="18"/>
        <v>0</v>
      </c>
      <c r="P58" s="295">
        <f t="shared" si="18"/>
        <v>0</v>
      </c>
      <c r="Q58" s="295">
        <f t="shared" si="18"/>
        <v>0</v>
      </c>
      <c r="R58" s="295">
        <f t="shared" si="18"/>
        <v>0</v>
      </c>
      <c r="S58" s="295">
        <f t="shared" si="18"/>
        <v>0</v>
      </c>
      <c r="T58" s="233">
        <f>SUM(H58:S58)</f>
        <v>0</v>
      </c>
    </row>
    <row r="59" spans="1:20">
      <c r="A59" s="296"/>
      <c r="B59" s="1" t="s">
        <v>389</v>
      </c>
      <c r="C59" s="1"/>
      <c r="D59" s="296"/>
      <c r="E59" s="306">
        <f>E49*T53</f>
        <v>0</v>
      </c>
      <c r="F59" s="298"/>
      <c r="G59" s="294"/>
      <c r="H59" s="295">
        <f>+H53*$E49</f>
        <v>0</v>
      </c>
      <c r="I59" s="295">
        <f t="shared" ref="I59:S59" si="19">+I53*$E49</f>
        <v>0</v>
      </c>
      <c r="J59" s="295">
        <f t="shared" si="19"/>
        <v>0</v>
      </c>
      <c r="K59" s="295">
        <f t="shared" si="19"/>
        <v>0</v>
      </c>
      <c r="L59" s="295">
        <f t="shared" si="19"/>
        <v>0</v>
      </c>
      <c r="M59" s="295">
        <f t="shared" si="19"/>
        <v>0</v>
      </c>
      <c r="N59" s="295">
        <f t="shared" si="19"/>
        <v>0</v>
      </c>
      <c r="O59" s="295">
        <f t="shared" si="19"/>
        <v>0</v>
      </c>
      <c r="P59" s="295">
        <f t="shared" si="19"/>
        <v>0</v>
      </c>
      <c r="Q59" s="295">
        <f t="shared" si="19"/>
        <v>0</v>
      </c>
      <c r="R59" s="295">
        <f t="shared" si="19"/>
        <v>0</v>
      </c>
      <c r="S59" s="295">
        <f t="shared" si="19"/>
        <v>0</v>
      </c>
      <c r="T59" s="233">
        <f>SUM(H59:S59)</f>
        <v>0</v>
      </c>
    </row>
    <row r="60" spans="1:20">
      <c r="A60" s="1"/>
      <c r="B60" s="356"/>
      <c r="C60" s="334" t="s">
        <v>409</v>
      </c>
      <c r="D60" s="356"/>
      <c r="E60" s="306"/>
      <c r="F60" s="298"/>
      <c r="G60" s="294"/>
      <c r="H60" s="365">
        <f>+H53*($E$49-'4.Cost of Goods-Svcs Sold'!$B$25)</f>
        <v>0</v>
      </c>
      <c r="I60" s="365">
        <f>+I53*($E$49-'4.Cost of Goods-Svcs Sold'!$B$25)</f>
        <v>0</v>
      </c>
      <c r="J60" s="365">
        <f>+J53*($E$49-'4.Cost of Goods-Svcs Sold'!$B$25)</f>
        <v>0</v>
      </c>
      <c r="K60" s="365">
        <f>+K53*($E$49-'4.Cost of Goods-Svcs Sold'!$B$25)</f>
        <v>0</v>
      </c>
      <c r="L60" s="365">
        <f>+L53*($E$49-'4.Cost of Goods-Svcs Sold'!$B$25)</f>
        <v>0</v>
      </c>
      <c r="M60" s="365">
        <f>+M53*($E$49-'4.Cost of Goods-Svcs Sold'!$B$25)</f>
        <v>0</v>
      </c>
      <c r="N60" s="365">
        <f>+N53*($E$49-'4.Cost of Goods-Svcs Sold'!$B$25)</f>
        <v>0</v>
      </c>
      <c r="O60" s="365">
        <f>+O53*($E$49-'4.Cost of Goods-Svcs Sold'!$B$25)</f>
        <v>0</v>
      </c>
      <c r="P60" s="365">
        <f>+P53*($E$49-'4.Cost of Goods-Svcs Sold'!$B$25)</f>
        <v>0</v>
      </c>
      <c r="Q60" s="365">
        <f>+Q53*($E$49-'4.Cost of Goods-Svcs Sold'!$B$25)</f>
        <v>0</v>
      </c>
      <c r="R60" s="365">
        <f>+R53*($E$49-'4.Cost of Goods-Svcs Sold'!$B$25)</f>
        <v>0</v>
      </c>
      <c r="S60" s="365">
        <f>+S53*($E$49-'4.Cost of Goods-Svcs Sold'!$B$25)</f>
        <v>0</v>
      </c>
    </row>
    <row r="61" spans="1:20">
      <c r="A61" s="1"/>
      <c r="B61" s="1" t="s">
        <v>30</v>
      </c>
      <c r="C61" s="1"/>
      <c r="D61" s="296"/>
      <c r="E61" s="306"/>
      <c r="F61" s="298"/>
      <c r="G61" s="298"/>
      <c r="H61" s="295">
        <f>+H54*$E48</f>
        <v>0</v>
      </c>
      <c r="I61" s="295">
        <f t="shared" ref="I61:S61" si="20">+I54*$E48</f>
        <v>0</v>
      </c>
      <c r="J61" s="295">
        <f t="shared" si="20"/>
        <v>0</v>
      </c>
      <c r="K61" s="295">
        <f t="shared" si="20"/>
        <v>0</v>
      </c>
      <c r="L61" s="295">
        <f t="shared" si="20"/>
        <v>0</v>
      </c>
      <c r="M61" s="295">
        <f t="shared" si="20"/>
        <v>0</v>
      </c>
      <c r="N61" s="295">
        <f t="shared" si="20"/>
        <v>0</v>
      </c>
      <c r="O61" s="295">
        <f t="shared" si="20"/>
        <v>0</v>
      </c>
      <c r="P61" s="295">
        <f t="shared" si="20"/>
        <v>0</v>
      </c>
      <c r="Q61" s="295">
        <f t="shared" si="20"/>
        <v>0</v>
      </c>
      <c r="R61" s="295">
        <f t="shared" si="20"/>
        <v>0</v>
      </c>
      <c r="S61" s="295">
        <f t="shared" si="20"/>
        <v>0</v>
      </c>
      <c r="T61" s="233">
        <f>SUM(H61:S61)</f>
        <v>0</v>
      </c>
    </row>
    <row r="62" spans="1:20">
      <c r="A62" s="1"/>
      <c r="B62" s="1" t="s">
        <v>390</v>
      </c>
      <c r="C62" s="1"/>
      <c r="D62" s="296"/>
      <c r="E62" s="306"/>
      <c r="F62" s="298"/>
      <c r="G62" s="298"/>
      <c r="H62" s="295">
        <f>+H54*$E49</f>
        <v>0</v>
      </c>
      <c r="I62" s="295">
        <f t="shared" ref="I62:S62" si="21">+I54*$E49</f>
        <v>0</v>
      </c>
      <c r="J62" s="295">
        <f t="shared" si="21"/>
        <v>0</v>
      </c>
      <c r="K62" s="295">
        <f t="shared" si="21"/>
        <v>0</v>
      </c>
      <c r="L62" s="295">
        <f t="shared" si="21"/>
        <v>0</v>
      </c>
      <c r="M62" s="295">
        <f t="shared" si="21"/>
        <v>0</v>
      </c>
      <c r="N62" s="295">
        <f t="shared" si="21"/>
        <v>0</v>
      </c>
      <c r="O62" s="295">
        <f t="shared" si="21"/>
        <v>0</v>
      </c>
      <c r="P62" s="295">
        <f t="shared" si="21"/>
        <v>0</v>
      </c>
      <c r="Q62" s="295">
        <f t="shared" si="21"/>
        <v>0</v>
      </c>
      <c r="R62" s="295">
        <f t="shared" si="21"/>
        <v>0</v>
      </c>
      <c r="S62" s="295">
        <f t="shared" si="21"/>
        <v>0</v>
      </c>
      <c r="T62" s="233">
        <f>SUM(H62:S62)</f>
        <v>0</v>
      </c>
    </row>
    <row r="63" spans="1:20">
      <c r="A63" s="1"/>
      <c r="B63" s="334"/>
      <c r="C63" s="334" t="s">
        <v>409</v>
      </c>
      <c r="D63" s="356"/>
      <c r="E63" s="294"/>
      <c r="F63" s="294"/>
      <c r="G63" s="294"/>
      <c r="H63" s="365">
        <f>+H54*($E$49-'4.Cost of Goods-Svcs Sold'!$B$25)</f>
        <v>0</v>
      </c>
      <c r="I63" s="365">
        <f>+I54*($E$49-'4.Cost of Goods-Svcs Sold'!$B$25)</f>
        <v>0</v>
      </c>
      <c r="J63" s="365">
        <f>+J54*($E$49-'4.Cost of Goods-Svcs Sold'!$B$25)</f>
        <v>0</v>
      </c>
      <c r="K63" s="365">
        <f>+K54*($E$49-'4.Cost of Goods-Svcs Sold'!$B$25)</f>
        <v>0</v>
      </c>
      <c r="L63" s="365">
        <f>+L54*($E$49-'4.Cost of Goods-Svcs Sold'!$B$25)</f>
        <v>0</v>
      </c>
      <c r="M63" s="365">
        <f>+M54*($E$49-'4.Cost of Goods-Svcs Sold'!$B$25)</f>
        <v>0</v>
      </c>
      <c r="N63" s="365">
        <f>+N54*($E$49-'4.Cost of Goods-Svcs Sold'!$B$25)</f>
        <v>0</v>
      </c>
      <c r="O63" s="365">
        <f>+O54*($E$49-'4.Cost of Goods-Svcs Sold'!$B$25)</f>
        <v>0</v>
      </c>
      <c r="P63" s="365">
        <f>+P54*($E$49-'4.Cost of Goods-Svcs Sold'!$B$25)</f>
        <v>0</v>
      </c>
      <c r="Q63" s="365">
        <f>+Q54*($E$49-'4.Cost of Goods-Svcs Sold'!$B$25)</f>
        <v>0</v>
      </c>
      <c r="R63" s="365">
        <f>+R54*($E$49-'4.Cost of Goods-Svcs Sold'!$B$25)</f>
        <v>0</v>
      </c>
      <c r="S63" s="365">
        <f>+S54*($E$49-'4.Cost of Goods-Svcs Sold'!$B$25)</f>
        <v>0</v>
      </c>
    </row>
    <row r="64" spans="1:20">
      <c r="A64" s="1"/>
      <c r="B64" s="1" t="s">
        <v>32</v>
      </c>
      <c r="C64" s="1"/>
      <c r="D64" s="296"/>
      <c r="E64" s="307"/>
      <c r="F64" s="294"/>
      <c r="G64" s="294"/>
      <c r="H64" s="295">
        <f>+H55*$E48</f>
        <v>0</v>
      </c>
      <c r="I64" s="295">
        <f t="shared" ref="I64:S64" si="22">+I55*$E48</f>
        <v>0</v>
      </c>
      <c r="J64" s="295">
        <f t="shared" si="22"/>
        <v>0</v>
      </c>
      <c r="K64" s="295">
        <f t="shared" si="22"/>
        <v>0</v>
      </c>
      <c r="L64" s="295">
        <f t="shared" si="22"/>
        <v>0</v>
      </c>
      <c r="M64" s="295">
        <f t="shared" si="22"/>
        <v>0</v>
      </c>
      <c r="N64" s="295">
        <f t="shared" si="22"/>
        <v>0</v>
      </c>
      <c r="O64" s="295">
        <f t="shared" si="22"/>
        <v>0</v>
      </c>
      <c r="P64" s="295">
        <f t="shared" si="22"/>
        <v>0</v>
      </c>
      <c r="Q64" s="295">
        <f t="shared" si="22"/>
        <v>0</v>
      </c>
      <c r="R64" s="295">
        <f t="shared" si="22"/>
        <v>0</v>
      </c>
      <c r="S64" s="295">
        <f t="shared" si="22"/>
        <v>0</v>
      </c>
      <c r="T64" s="233">
        <f>SUM(H64:S64)</f>
        <v>0</v>
      </c>
    </row>
    <row r="65" spans="1:20">
      <c r="A65" s="1"/>
      <c r="B65" s="1" t="s">
        <v>391</v>
      </c>
      <c r="C65" s="1"/>
      <c r="D65" s="296"/>
      <c r="E65" s="308"/>
      <c r="F65" s="298"/>
      <c r="G65" s="298"/>
      <c r="H65" s="295">
        <f>+H55*$E49</f>
        <v>0</v>
      </c>
      <c r="I65" s="295">
        <f t="shared" ref="I65:S65" si="23">+I55*$E49</f>
        <v>0</v>
      </c>
      <c r="J65" s="295">
        <f t="shared" si="23"/>
        <v>0</v>
      </c>
      <c r="K65" s="295">
        <f t="shared" si="23"/>
        <v>0</v>
      </c>
      <c r="L65" s="295">
        <f t="shared" si="23"/>
        <v>0</v>
      </c>
      <c r="M65" s="295">
        <f t="shared" si="23"/>
        <v>0</v>
      </c>
      <c r="N65" s="295">
        <f t="shared" si="23"/>
        <v>0</v>
      </c>
      <c r="O65" s="295">
        <f t="shared" si="23"/>
        <v>0</v>
      </c>
      <c r="P65" s="295">
        <f t="shared" si="23"/>
        <v>0</v>
      </c>
      <c r="Q65" s="295">
        <f t="shared" si="23"/>
        <v>0</v>
      </c>
      <c r="R65" s="295">
        <f t="shared" si="23"/>
        <v>0</v>
      </c>
      <c r="S65" s="295">
        <f t="shared" si="23"/>
        <v>0</v>
      </c>
      <c r="T65" s="233">
        <f>SUM(H65:S65)</f>
        <v>0</v>
      </c>
    </row>
    <row r="66" spans="1:20">
      <c r="B66" s="356"/>
      <c r="C66" s="334" t="s">
        <v>409</v>
      </c>
      <c r="D66" s="356"/>
      <c r="H66" s="365">
        <f>+H55*($E$49-'4.Cost of Goods-Svcs Sold'!$B$25)</f>
        <v>0</v>
      </c>
      <c r="I66" s="365">
        <f>+I55*($E$49-'4.Cost of Goods-Svcs Sold'!$B$25)</f>
        <v>0</v>
      </c>
      <c r="J66" s="365">
        <f>+J55*($E$49-'4.Cost of Goods-Svcs Sold'!$B$25)</f>
        <v>0</v>
      </c>
      <c r="K66" s="365">
        <f>+K55*($E$49-'4.Cost of Goods-Svcs Sold'!$B$25)</f>
        <v>0</v>
      </c>
      <c r="L66" s="365">
        <f>+L55*($E$49-'4.Cost of Goods-Svcs Sold'!$B$25)</f>
        <v>0</v>
      </c>
      <c r="M66" s="365">
        <f>+M55*($E$49-'4.Cost of Goods-Svcs Sold'!$B$25)</f>
        <v>0</v>
      </c>
      <c r="N66" s="365">
        <f>+N55*($E$49-'4.Cost of Goods-Svcs Sold'!$B$25)</f>
        <v>0</v>
      </c>
      <c r="O66" s="365">
        <f>+O55*($E$49-'4.Cost of Goods-Svcs Sold'!$B$25)</f>
        <v>0</v>
      </c>
      <c r="P66" s="365">
        <f>+P55*($E$49-'4.Cost of Goods-Svcs Sold'!$B$25)</f>
        <v>0</v>
      </c>
      <c r="Q66" s="365">
        <f>+Q55*($E$49-'4.Cost of Goods-Svcs Sold'!$B$25)</f>
        <v>0</v>
      </c>
      <c r="R66" s="365">
        <f>+R55*($E$49-'4.Cost of Goods-Svcs Sold'!$B$25)</f>
        <v>0</v>
      </c>
      <c r="S66" s="365">
        <f>+S55*($E$49-'4.Cost of Goods-Svcs Sold'!$B$25)</f>
        <v>0</v>
      </c>
    </row>
    <row r="68" spans="1:20">
      <c r="A68" s="225" t="str">
        <f>+'4.Cost of Goods-Svcs Sold'!D24</f>
        <v>Product/Service 10</v>
      </c>
      <c r="B68" s="225"/>
      <c r="C68" s="225"/>
      <c r="D68" s="225"/>
      <c r="E68" s="294"/>
      <c r="F68" s="294"/>
      <c r="G68" s="294"/>
      <c r="H68" s="295"/>
      <c r="I68" s="295"/>
      <c r="J68" s="295"/>
      <c r="K68" s="295"/>
      <c r="L68" s="295"/>
      <c r="M68" s="295"/>
      <c r="N68" s="295"/>
      <c r="O68" s="295"/>
      <c r="P68" s="295"/>
      <c r="Q68" s="295"/>
      <c r="R68" s="295"/>
      <c r="S68" s="295"/>
    </row>
    <row r="69" spans="1:20">
      <c r="A69" s="1"/>
      <c r="B69" s="1" t="s">
        <v>276</v>
      </c>
      <c r="C69" s="1"/>
      <c r="D69" s="296"/>
      <c r="E69" s="297"/>
      <c r="F69" s="298">
        <v>1</v>
      </c>
      <c r="G69" s="298"/>
      <c r="H69" s="295"/>
      <c r="I69" s="295"/>
      <c r="J69" s="295"/>
      <c r="K69" s="295"/>
      <c r="L69" s="295"/>
      <c r="M69" s="295"/>
      <c r="N69" s="295"/>
      <c r="O69" s="295"/>
      <c r="P69" s="295"/>
      <c r="Q69" s="295"/>
      <c r="R69" s="295"/>
      <c r="S69" s="295"/>
    </row>
    <row r="70" spans="1:20">
      <c r="A70" s="1"/>
      <c r="B70" s="1" t="s">
        <v>403</v>
      </c>
      <c r="C70" s="1"/>
      <c r="D70" s="296"/>
      <c r="E70" s="397">
        <f>+'4.Cost of Goods-Svcs Sold'!E31</f>
        <v>0</v>
      </c>
      <c r="F70" s="299">
        <f>IF(E69&gt;0,E70/E69,0)</f>
        <v>0</v>
      </c>
      <c r="G70" s="298"/>
      <c r="H70" s="295"/>
      <c r="I70" s="295"/>
      <c r="J70" s="295"/>
      <c r="K70" s="295"/>
      <c r="L70" s="295"/>
      <c r="M70" s="295"/>
      <c r="N70" s="295"/>
      <c r="O70" s="295"/>
      <c r="P70" s="295"/>
      <c r="Q70" s="295"/>
      <c r="R70" s="295"/>
      <c r="S70" s="295"/>
    </row>
    <row r="71" spans="1:20">
      <c r="A71" s="1"/>
      <c r="B71" s="1" t="s">
        <v>289</v>
      </c>
      <c r="C71" s="1"/>
      <c r="D71" s="296"/>
      <c r="E71" s="300">
        <f>E69-E70</f>
        <v>0</v>
      </c>
      <c r="F71" s="298">
        <f>IF(E69&gt;0,E71/E69,0)</f>
        <v>0</v>
      </c>
      <c r="G71" s="298"/>
      <c r="H71" s="295"/>
      <c r="I71" s="295"/>
      <c r="J71" s="295"/>
      <c r="K71" s="295"/>
      <c r="L71" s="295"/>
      <c r="M71" s="295"/>
      <c r="N71" s="295"/>
      <c r="O71" s="295"/>
      <c r="P71" s="295"/>
      <c r="Q71" s="295"/>
      <c r="R71" s="295"/>
      <c r="S71" s="295"/>
    </row>
    <row r="72" spans="1:20">
      <c r="A72" s="1"/>
      <c r="B72" s="1" t="s">
        <v>282</v>
      </c>
      <c r="C72" s="1"/>
      <c r="D72" s="296"/>
      <c r="E72" s="294"/>
      <c r="F72" s="294"/>
      <c r="G72" s="294"/>
      <c r="H72" s="295"/>
      <c r="I72" s="295"/>
      <c r="J72" s="295"/>
      <c r="K72" s="295"/>
      <c r="L72" s="295"/>
      <c r="M72" s="295"/>
      <c r="N72" s="295"/>
      <c r="O72" s="295"/>
      <c r="P72" s="295"/>
      <c r="Q72" s="295"/>
      <c r="R72" s="295"/>
      <c r="S72" s="295"/>
    </row>
    <row r="73" spans="1:20" ht="12.75" thickBot="1">
      <c r="A73" s="1"/>
      <c r="B73" s="1"/>
      <c r="C73" s="1" t="s">
        <v>287</v>
      </c>
      <c r="D73" s="296"/>
      <c r="E73" s="294"/>
      <c r="F73" s="294"/>
      <c r="G73" s="294"/>
      <c r="H73" s="309">
        <f t="shared" ref="H73:S73" si="24">IF(H74=0,0,H74/$T74)</f>
        <v>0</v>
      </c>
      <c r="I73" s="309">
        <f t="shared" si="24"/>
        <v>0</v>
      </c>
      <c r="J73" s="309">
        <f t="shared" si="24"/>
        <v>0</v>
      </c>
      <c r="K73" s="309">
        <f t="shared" si="24"/>
        <v>0</v>
      </c>
      <c r="L73" s="309">
        <f t="shared" si="24"/>
        <v>0</v>
      </c>
      <c r="M73" s="309">
        <f t="shared" si="24"/>
        <v>0</v>
      </c>
      <c r="N73" s="309">
        <f t="shared" si="24"/>
        <v>0</v>
      </c>
      <c r="O73" s="309">
        <f t="shared" si="24"/>
        <v>0</v>
      </c>
      <c r="P73" s="309">
        <f t="shared" si="24"/>
        <v>0</v>
      </c>
      <c r="Q73" s="309">
        <f t="shared" si="24"/>
        <v>0</v>
      </c>
      <c r="R73" s="309">
        <f t="shared" si="24"/>
        <v>0</v>
      </c>
      <c r="S73" s="309">
        <f t="shared" si="24"/>
        <v>0</v>
      </c>
      <c r="T73" s="310">
        <f>SUM(H73:S73)</f>
        <v>0</v>
      </c>
    </row>
    <row r="74" spans="1:20">
      <c r="A74" s="1"/>
      <c r="B74" s="1"/>
      <c r="C74" s="1" t="str">
        <f>+$C$11</f>
        <v>Monthly Unit Sales Year 1</v>
      </c>
      <c r="D74" s="296"/>
      <c r="E74" s="294"/>
      <c r="F74" s="294"/>
      <c r="G74" s="294"/>
      <c r="H74" s="301"/>
      <c r="I74" s="301"/>
      <c r="J74" s="301"/>
      <c r="K74" s="301"/>
      <c r="L74" s="301"/>
      <c r="M74" s="301"/>
      <c r="N74" s="301"/>
      <c r="O74" s="301"/>
      <c r="P74" s="301"/>
      <c r="Q74" s="301"/>
      <c r="R74" s="301"/>
      <c r="S74" s="301"/>
      <c r="T74" s="233">
        <f>SUM(H74:S74)</f>
        <v>0</v>
      </c>
    </row>
    <row r="75" spans="1:20">
      <c r="A75" s="1"/>
      <c r="B75" s="1"/>
      <c r="C75" s="1" t="s">
        <v>404</v>
      </c>
      <c r="D75" s="296"/>
      <c r="E75" s="302">
        <v>0</v>
      </c>
      <c r="F75" s="303"/>
      <c r="G75" s="298"/>
      <c r="H75" s="313">
        <f>IF($E75=0,S74,ROUND((1+($E75/12))*S74,0))</f>
        <v>0</v>
      </c>
      <c r="I75" s="313">
        <f>IF($E75=0,H75,ROUND((1+($E75/12))*H75,0))</f>
        <v>0</v>
      </c>
      <c r="J75" s="313">
        <f t="shared" ref="J75:S76" si="25">IF($E75=0,I75,ROUND((1+($E75/12))*I75,0))</f>
        <v>0</v>
      </c>
      <c r="K75" s="313">
        <f t="shared" si="25"/>
        <v>0</v>
      </c>
      <c r="L75" s="313">
        <f t="shared" si="25"/>
        <v>0</v>
      </c>
      <c r="M75" s="313">
        <f t="shared" si="25"/>
        <v>0</v>
      </c>
      <c r="N75" s="313">
        <f t="shared" si="25"/>
        <v>0</v>
      </c>
      <c r="O75" s="313">
        <f t="shared" si="25"/>
        <v>0</v>
      </c>
      <c r="P75" s="313">
        <f t="shared" si="25"/>
        <v>0</v>
      </c>
      <c r="Q75" s="313">
        <f t="shared" si="25"/>
        <v>0</v>
      </c>
      <c r="R75" s="313">
        <f t="shared" si="25"/>
        <v>0</v>
      </c>
      <c r="S75" s="313">
        <f t="shared" si="25"/>
        <v>0</v>
      </c>
      <c r="T75" s="233">
        <f>SUM(H75:S75)</f>
        <v>0</v>
      </c>
    </row>
    <row r="76" spans="1:20">
      <c r="A76" s="296"/>
      <c r="B76" s="1"/>
      <c r="C76" s="1" t="s">
        <v>405</v>
      </c>
      <c r="D76" s="296"/>
      <c r="E76" s="302">
        <v>0</v>
      </c>
      <c r="F76" s="294"/>
      <c r="G76" s="298"/>
      <c r="H76" s="313">
        <f>IF($E76=0,S75,ROUND((1+($E76/12))*S75,0))</f>
        <v>0</v>
      </c>
      <c r="I76" s="313">
        <f>IF($E76=0,H76,ROUND((1+($E76/12))*H76,0))</f>
        <v>0</v>
      </c>
      <c r="J76" s="313">
        <f t="shared" si="25"/>
        <v>0</v>
      </c>
      <c r="K76" s="313">
        <f t="shared" si="25"/>
        <v>0</v>
      </c>
      <c r="L76" s="313">
        <f t="shared" si="25"/>
        <v>0</v>
      </c>
      <c r="M76" s="313">
        <f t="shared" si="25"/>
        <v>0</v>
      </c>
      <c r="N76" s="313">
        <f t="shared" si="25"/>
        <v>0</v>
      </c>
      <c r="O76" s="313">
        <f t="shared" si="25"/>
        <v>0</v>
      </c>
      <c r="P76" s="313">
        <f t="shared" si="25"/>
        <v>0</v>
      </c>
      <c r="Q76" s="313">
        <f t="shared" si="25"/>
        <v>0</v>
      </c>
      <c r="R76" s="313">
        <f t="shared" si="25"/>
        <v>0</v>
      </c>
      <c r="S76" s="313">
        <f t="shared" si="25"/>
        <v>0</v>
      </c>
      <c r="T76" s="233">
        <f>SUM(H76:S76)</f>
        <v>0</v>
      </c>
    </row>
    <row r="77" spans="1:20">
      <c r="A77" s="296"/>
      <c r="B77" s="344" t="s">
        <v>115</v>
      </c>
      <c r="C77" s="344"/>
      <c r="D77" s="345"/>
      <c r="E77" s="346">
        <v>0</v>
      </c>
      <c r="F77" s="294"/>
      <c r="G77" s="298"/>
      <c r="H77" s="304"/>
      <c r="I77" s="304"/>
      <c r="J77" s="304"/>
      <c r="K77" s="304"/>
      <c r="L77" s="304"/>
      <c r="M77" s="304"/>
      <c r="N77" s="304"/>
      <c r="O77" s="304"/>
      <c r="P77" s="304"/>
      <c r="Q77" s="304"/>
      <c r="R77" s="304"/>
      <c r="S77" s="304"/>
    </row>
    <row r="78" spans="1:20">
      <c r="A78" s="296"/>
      <c r="B78" s="1"/>
      <c r="C78" s="1"/>
      <c r="D78" s="296"/>
      <c r="E78" s="294"/>
      <c r="F78" s="294"/>
      <c r="G78" s="294"/>
      <c r="H78" s="295"/>
      <c r="I78" s="295"/>
      <c r="J78" s="295"/>
      <c r="K78" s="295"/>
      <c r="L78" s="295"/>
      <c r="M78" s="295"/>
      <c r="N78" s="295"/>
      <c r="O78" s="295"/>
      <c r="P78" s="295"/>
      <c r="Q78" s="295"/>
      <c r="R78" s="295"/>
      <c r="S78" s="295"/>
    </row>
    <row r="79" spans="1:20">
      <c r="A79" s="296"/>
      <c r="B79" s="1" t="s">
        <v>28</v>
      </c>
      <c r="C79" s="1"/>
      <c r="D79" s="296"/>
      <c r="E79" s="305">
        <f>T74*E69</f>
        <v>0</v>
      </c>
      <c r="F79" s="298"/>
      <c r="G79" s="294"/>
      <c r="H79" s="295">
        <f>+H74*$E69</f>
        <v>0</v>
      </c>
      <c r="I79" s="295">
        <f t="shared" ref="I79:S79" si="26">+I74*$E69</f>
        <v>0</v>
      </c>
      <c r="J79" s="295">
        <f t="shared" si="26"/>
        <v>0</v>
      </c>
      <c r="K79" s="295">
        <f t="shared" si="26"/>
        <v>0</v>
      </c>
      <c r="L79" s="295">
        <f t="shared" si="26"/>
        <v>0</v>
      </c>
      <c r="M79" s="295">
        <f t="shared" si="26"/>
        <v>0</v>
      </c>
      <c r="N79" s="295">
        <f t="shared" si="26"/>
        <v>0</v>
      </c>
      <c r="O79" s="295">
        <f t="shared" si="26"/>
        <v>0</v>
      </c>
      <c r="P79" s="295">
        <f t="shared" si="26"/>
        <v>0</v>
      </c>
      <c r="Q79" s="295">
        <f t="shared" si="26"/>
        <v>0</v>
      </c>
      <c r="R79" s="295">
        <f t="shared" si="26"/>
        <v>0</v>
      </c>
      <c r="S79" s="295">
        <f t="shared" si="26"/>
        <v>0</v>
      </c>
      <c r="T79" s="233">
        <f>SUM(H79:S79)</f>
        <v>0</v>
      </c>
    </row>
    <row r="80" spans="1:20">
      <c r="A80" s="296"/>
      <c r="B80" s="1" t="s">
        <v>389</v>
      </c>
      <c r="C80" s="1"/>
      <c r="D80" s="296"/>
      <c r="E80" s="306">
        <f>E70*T74</f>
        <v>0</v>
      </c>
      <c r="F80" s="298"/>
      <c r="G80" s="294"/>
      <c r="H80" s="295">
        <f>+H74*$E70</f>
        <v>0</v>
      </c>
      <c r="I80" s="295">
        <f t="shared" ref="I80:S80" si="27">+I74*$E70</f>
        <v>0</v>
      </c>
      <c r="J80" s="295">
        <f t="shared" si="27"/>
        <v>0</v>
      </c>
      <c r="K80" s="295">
        <f t="shared" si="27"/>
        <v>0</v>
      </c>
      <c r="L80" s="295">
        <f t="shared" si="27"/>
        <v>0</v>
      </c>
      <c r="M80" s="295">
        <f t="shared" si="27"/>
        <v>0</v>
      </c>
      <c r="N80" s="295">
        <f t="shared" si="27"/>
        <v>0</v>
      </c>
      <c r="O80" s="295">
        <f t="shared" si="27"/>
        <v>0</v>
      </c>
      <c r="P80" s="295">
        <f t="shared" si="27"/>
        <v>0</v>
      </c>
      <c r="Q80" s="295">
        <f t="shared" si="27"/>
        <v>0</v>
      </c>
      <c r="R80" s="295">
        <f t="shared" si="27"/>
        <v>0</v>
      </c>
      <c r="S80" s="295">
        <f t="shared" si="27"/>
        <v>0</v>
      </c>
      <c r="T80" s="233">
        <f>SUM(H80:S80)</f>
        <v>0</v>
      </c>
    </row>
    <row r="81" spans="1:20">
      <c r="A81" s="1"/>
      <c r="B81" s="356"/>
      <c r="C81" s="334" t="s">
        <v>409</v>
      </c>
      <c r="D81" s="356"/>
      <c r="E81" s="306"/>
      <c r="F81" s="298"/>
      <c r="G81" s="294"/>
      <c r="H81" s="365">
        <f>+H74*($E$70-'4.Cost of Goods-Svcs Sold'!$E$25)</f>
        <v>0</v>
      </c>
      <c r="I81" s="365">
        <f>+I74*($E$70-'4.Cost of Goods-Svcs Sold'!$E$25)</f>
        <v>0</v>
      </c>
      <c r="J81" s="365">
        <f>+J74*($E$70-'4.Cost of Goods-Svcs Sold'!$E$25)</f>
        <v>0</v>
      </c>
      <c r="K81" s="365">
        <f>+K74*($E$70-'4.Cost of Goods-Svcs Sold'!$E$25)</f>
        <v>0</v>
      </c>
      <c r="L81" s="365">
        <f>+L74*($E$70-'4.Cost of Goods-Svcs Sold'!$E$25)</f>
        <v>0</v>
      </c>
      <c r="M81" s="365">
        <f>+M74*($E$70-'4.Cost of Goods-Svcs Sold'!$E$25)</f>
        <v>0</v>
      </c>
      <c r="N81" s="365">
        <f>+N74*($E$70-'4.Cost of Goods-Svcs Sold'!$E$25)</f>
        <v>0</v>
      </c>
      <c r="O81" s="365">
        <f>+O74*($E$70-'4.Cost of Goods-Svcs Sold'!$E$25)</f>
        <v>0</v>
      </c>
      <c r="P81" s="365">
        <f>+P74*($E$70-'4.Cost of Goods-Svcs Sold'!$E$25)</f>
        <v>0</v>
      </c>
      <c r="Q81" s="365">
        <f>+Q74*($E$70-'4.Cost of Goods-Svcs Sold'!$E$25)</f>
        <v>0</v>
      </c>
      <c r="R81" s="365">
        <f>+R74*($E$70-'4.Cost of Goods-Svcs Sold'!$E$25)</f>
        <v>0</v>
      </c>
      <c r="S81" s="365">
        <f>+S74*($E$70-'4.Cost of Goods-Svcs Sold'!$E$25)</f>
        <v>0</v>
      </c>
    </row>
    <row r="82" spans="1:20">
      <c r="A82" s="1"/>
      <c r="B82" s="1" t="s">
        <v>30</v>
      </c>
      <c r="C82" s="1"/>
      <c r="D82" s="296"/>
      <c r="E82" s="306"/>
      <c r="F82" s="298"/>
      <c r="G82" s="298"/>
      <c r="H82" s="295">
        <f>+H75*$E69</f>
        <v>0</v>
      </c>
      <c r="I82" s="295">
        <f t="shared" ref="I82:S82" si="28">+I75*$E69</f>
        <v>0</v>
      </c>
      <c r="J82" s="295">
        <f t="shared" si="28"/>
        <v>0</v>
      </c>
      <c r="K82" s="295">
        <f t="shared" si="28"/>
        <v>0</v>
      </c>
      <c r="L82" s="295">
        <f t="shared" si="28"/>
        <v>0</v>
      </c>
      <c r="M82" s="295">
        <f t="shared" si="28"/>
        <v>0</v>
      </c>
      <c r="N82" s="295">
        <f t="shared" si="28"/>
        <v>0</v>
      </c>
      <c r="O82" s="295">
        <f t="shared" si="28"/>
        <v>0</v>
      </c>
      <c r="P82" s="295">
        <f t="shared" si="28"/>
        <v>0</v>
      </c>
      <c r="Q82" s="295">
        <f t="shared" si="28"/>
        <v>0</v>
      </c>
      <c r="R82" s="295">
        <f t="shared" si="28"/>
        <v>0</v>
      </c>
      <c r="S82" s="295">
        <f t="shared" si="28"/>
        <v>0</v>
      </c>
      <c r="T82" s="233">
        <f>SUM(H82:S82)</f>
        <v>0</v>
      </c>
    </row>
    <row r="83" spans="1:20">
      <c r="A83" s="1"/>
      <c r="B83" s="1" t="s">
        <v>390</v>
      </c>
      <c r="C83" s="1"/>
      <c r="D83" s="296"/>
      <c r="E83" s="306"/>
      <c r="F83" s="298"/>
      <c r="G83" s="298"/>
      <c r="H83" s="295">
        <f>+H75*$E70</f>
        <v>0</v>
      </c>
      <c r="I83" s="295">
        <f t="shared" ref="I83:S83" si="29">+I75*$E70</f>
        <v>0</v>
      </c>
      <c r="J83" s="295">
        <f t="shared" si="29"/>
        <v>0</v>
      </c>
      <c r="K83" s="295">
        <f t="shared" si="29"/>
        <v>0</v>
      </c>
      <c r="L83" s="295">
        <f t="shared" si="29"/>
        <v>0</v>
      </c>
      <c r="M83" s="295">
        <f t="shared" si="29"/>
        <v>0</v>
      </c>
      <c r="N83" s="295">
        <f t="shared" si="29"/>
        <v>0</v>
      </c>
      <c r="O83" s="295">
        <f t="shared" si="29"/>
        <v>0</v>
      </c>
      <c r="P83" s="295">
        <f t="shared" si="29"/>
        <v>0</v>
      </c>
      <c r="Q83" s="295">
        <f t="shared" si="29"/>
        <v>0</v>
      </c>
      <c r="R83" s="295">
        <f t="shared" si="29"/>
        <v>0</v>
      </c>
      <c r="S83" s="295">
        <f t="shared" si="29"/>
        <v>0</v>
      </c>
      <c r="T83" s="233">
        <f>SUM(H83:S83)</f>
        <v>0</v>
      </c>
    </row>
    <row r="84" spans="1:20">
      <c r="A84" s="1"/>
      <c r="B84" s="334"/>
      <c r="C84" s="334" t="s">
        <v>409</v>
      </c>
      <c r="D84" s="356"/>
      <c r="E84" s="294"/>
      <c r="F84" s="294"/>
      <c r="G84" s="294"/>
      <c r="H84" s="365">
        <f>+H75*($E$70-'4.Cost of Goods-Svcs Sold'!$E$25)</f>
        <v>0</v>
      </c>
      <c r="I84" s="365">
        <f>+I75*($E$70-'4.Cost of Goods-Svcs Sold'!$E$25)</f>
        <v>0</v>
      </c>
      <c r="J84" s="365">
        <f>+J75*($E$70-'4.Cost of Goods-Svcs Sold'!$E$25)</f>
        <v>0</v>
      </c>
      <c r="K84" s="365">
        <f>+K75*($E$70-'4.Cost of Goods-Svcs Sold'!$E$25)</f>
        <v>0</v>
      </c>
      <c r="L84" s="365">
        <f>+L75*($E$70-'4.Cost of Goods-Svcs Sold'!$E$25)</f>
        <v>0</v>
      </c>
      <c r="M84" s="365">
        <f>+M75*($E$70-'4.Cost of Goods-Svcs Sold'!$E$25)</f>
        <v>0</v>
      </c>
      <c r="N84" s="365">
        <f>+N75*($E$70-'4.Cost of Goods-Svcs Sold'!$E$25)</f>
        <v>0</v>
      </c>
      <c r="O84" s="365">
        <f>+O75*($E$70-'4.Cost of Goods-Svcs Sold'!$E$25)</f>
        <v>0</v>
      </c>
      <c r="P84" s="365">
        <f>+P75*($E$70-'4.Cost of Goods-Svcs Sold'!$E$25)</f>
        <v>0</v>
      </c>
      <c r="Q84" s="365">
        <f>+Q75*($E$70-'4.Cost of Goods-Svcs Sold'!$E$25)</f>
        <v>0</v>
      </c>
      <c r="R84" s="365">
        <f>+R75*($E$70-'4.Cost of Goods-Svcs Sold'!$E$25)</f>
        <v>0</v>
      </c>
      <c r="S84" s="365">
        <f>+S75*($E$70-'4.Cost of Goods-Svcs Sold'!$E$25)</f>
        <v>0</v>
      </c>
    </row>
    <row r="85" spans="1:20">
      <c r="A85" s="1"/>
      <c r="B85" s="1" t="s">
        <v>32</v>
      </c>
      <c r="C85" s="1"/>
      <c r="D85" s="296"/>
      <c r="E85" s="307"/>
      <c r="F85" s="294"/>
      <c r="G85" s="294"/>
      <c r="H85" s="295">
        <f>+H76*$E69</f>
        <v>0</v>
      </c>
      <c r="I85" s="295">
        <f t="shared" ref="I85:S85" si="30">+I76*$E69</f>
        <v>0</v>
      </c>
      <c r="J85" s="295">
        <f t="shared" si="30"/>
        <v>0</v>
      </c>
      <c r="K85" s="295">
        <f t="shared" si="30"/>
        <v>0</v>
      </c>
      <c r="L85" s="295">
        <f t="shared" si="30"/>
        <v>0</v>
      </c>
      <c r="M85" s="295">
        <f t="shared" si="30"/>
        <v>0</v>
      </c>
      <c r="N85" s="295">
        <f t="shared" si="30"/>
        <v>0</v>
      </c>
      <c r="O85" s="295">
        <f t="shared" si="30"/>
        <v>0</v>
      </c>
      <c r="P85" s="295">
        <f t="shared" si="30"/>
        <v>0</v>
      </c>
      <c r="Q85" s="295">
        <f t="shared" si="30"/>
        <v>0</v>
      </c>
      <c r="R85" s="295">
        <f t="shared" si="30"/>
        <v>0</v>
      </c>
      <c r="S85" s="295">
        <f t="shared" si="30"/>
        <v>0</v>
      </c>
      <c r="T85" s="233">
        <f>SUM(H85:S85)</f>
        <v>0</v>
      </c>
    </row>
    <row r="86" spans="1:20">
      <c r="A86" s="1"/>
      <c r="B86" s="1" t="s">
        <v>391</v>
      </c>
      <c r="C86" s="1"/>
      <c r="D86" s="296"/>
      <c r="E86" s="308"/>
      <c r="F86" s="298"/>
      <c r="G86" s="298"/>
      <c r="H86" s="295">
        <f>+H76*$E70</f>
        <v>0</v>
      </c>
      <c r="I86" s="295">
        <f t="shared" ref="I86:S86" si="31">+I76*$E70</f>
        <v>0</v>
      </c>
      <c r="J86" s="295">
        <f t="shared" si="31"/>
        <v>0</v>
      </c>
      <c r="K86" s="295">
        <f t="shared" si="31"/>
        <v>0</v>
      </c>
      <c r="L86" s="295">
        <f t="shared" si="31"/>
        <v>0</v>
      </c>
      <c r="M86" s="295">
        <f t="shared" si="31"/>
        <v>0</v>
      </c>
      <c r="N86" s="295">
        <f t="shared" si="31"/>
        <v>0</v>
      </c>
      <c r="O86" s="295">
        <f t="shared" si="31"/>
        <v>0</v>
      </c>
      <c r="P86" s="295">
        <f t="shared" si="31"/>
        <v>0</v>
      </c>
      <c r="Q86" s="295">
        <f t="shared" si="31"/>
        <v>0</v>
      </c>
      <c r="R86" s="295">
        <f t="shared" si="31"/>
        <v>0</v>
      </c>
      <c r="S86" s="295">
        <f t="shared" si="31"/>
        <v>0</v>
      </c>
      <c r="T86" s="233">
        <f>SUM(H86:S86)</f>
        <v>0</v>
      </c>
    </row>
    <row r="87" spans="1:20">
      <c r="B87" s="356"/>
      <c r="C87" s="334" t="s">
        <v>409</v>
      </c>
      <c r="D87" s="356"/>
      <c r="H87" s="365">
        <f>+H76*($E$70-'4.Cost of Goods-Svcs Sold'!$E$25)</f>
        <v>0</v>
      </c>
      <c r="I87" s="365">
        <f>+I76*($E$70-'4.Cost of Goods-Svcs Sold'!$E$25)</f>
        <v>0</v>
      </c>
      <c r="J87" s="365">
        <f>+J76*($E$70-'4.Cost of Goods-Svcs Sold'!$E$25)</f>
        <v>0</v>
      </c>
      <c r="K87" s="365">
        <f>+K76*($E$70-'4.Cost of Goods-Svcs Sold'!$E$25)</f>
        <v>0</v>
      </c>
      <c r="L87" s="365">
        <f>+L76*($E$70-'4.Cost of Goods-Svcs Sold'!$E$25)</f>
        <v>0</v>
      </c>
      <c r="M87" s="365">
        <f>+M76*($E$70-'4.Cost of Goods-Svcs Sold'!$E$25)</f>
        <v>0</v>
      </c>
      <c r="N87" s="365">
        <f>+N76*($E$70-'4.Cost of Goods-Svcs Sold'!$E$25)</f>
        <v>0</v>
      </c>
      <c r="O87" s="365">
        <f>+O76*($E$70-'4.Cost of Goods-Svcs Sold'!$E$25)</f>
        <v>0</v>
      </c>
      <c r="P87" s="365">
        <f>+P76*($E$70-'4.Cost of Goods-Svcs Sold'!$E$25)</f>
        <v>0</v>
      </c>
      <c r="Q87" s="365">
        <f>+Q76*($E$70-'4.Cost of Goods-Svcs Sold'!$E$25)</f>
        <v>0</v>
      </c>
      <c r="R87" s="365">
        <f>+R76*($E$70-'4.Cost of Goods-Svcs Sold'!$E$25)</f>
        <v>0</v>
      </c>
      <c r="S87" s="365">
        <f>+S76*($E$70-'4.Cost of Goods-Svcs Sold'!$E$25)</f>
        <v>0</v>
      </c>
    </row>
    <row r="89" spans="1:20">
      <c r="A89" s="225" t="str">
        <f>+'4.Cost of Goods-Svcs Sold'!G24</f>
        <v>Product/Service 11</v>
      </c>
      <c r="B89" s="225"/>
      <c r="C89" s="225"/>
      <c r="D89" s="225"/>
      <c r="E89" s="294"/>
      <c r="F89" s="294"/>
      <c r="G89" s="294"/>
      <c r="H89" s="295"/>
      <c r="I89" s="295"/>
      <c r="J89" s="295"/>
      <c r="K89" s="295"/>
      <c r="L89" s="295"/>
      <c r="M89" s="295"/>
      <c r="N89" s="295"/>
      <c r="O89" s="295"/>
      <c r="P89" s="295"/>
      <c r="Q89" s="295"/>
      <c r="R89" s="295"/>
      <c r="S89" s="295"/>
    </row>
    <row r="90" spans="1:20">
      <c r="A90" s="1"/>
      <c r="B90" s="1" t="s">
        <v>276</v>
      </c>
      <c r="C90" s="1"/>
      <c r="D90" s="296"/>
      <c r="E90" s="297"/>
      <c r="F90" s="298">
        <v>1</v>
      </c>
      <c r="G90" s="298"/>
      <c r="H90" s="295"/>
      <c r="I90" s="295"/>
      <c r="J90" s="295"/>
      <c r="K90" s="295"/>
      <c r="L90" s="295"/>
      <c r="M90" s="295"/>
      <c r="N90" s="295"/>
      <c r="O90" s="295"/>
      <c r="P90" s="295"/>
      <c r="Q90" s="295"/>
      <c r="R90" s="295"/>
      <c r="S90" s="295"/>
    </row>
    <row r="91" spans="1:20">
      <c r="A91" s="1"/>
      <c r="B91" s="1" t="s">
        <v>403</v>
      </c>
      <c r="C91" s="1"/>
      <c r="D91" s="296"/>
      <c r="E91" s="397">
        <f>+'4.Cost of Goods-Svcs Sold'!H31</f>
        <v>0</v>
      </c>
      <c r="F91" s="299">
        <f>IF(E90&gt;0,E91/E90,0)</f>
        <v>0</v>
      </c>
      <c r="G91" s="298"/>
      <c r="H91" s="295"/>
      <c r="I91" s="295"/>
      <c r="J91" s="295"/>
      <c r="K91" s="295"/>
      <c r="L91" s="295"/>
      <c r="M91" s="295"/>
      <c r="N91" s="295"/>
      <c r="O91" s="295"/>
      <c r="P91" s="295"/>
      <c r="Q91" s="295"/>
      <c r="R91" s="295"/>
      <c r="S91" s="295"/>
    </row>
    <row r="92" spans="1:20">
      <c r="A92" s="1"/>
      <c r="B92" s="1" t="s">
        <v>289</v>
      </c>
      <c r="C92" s="1"/>
      <c r="D92" s="296"/>
      <c r="E92" s="300">
        <f>E90-E91</f>
        <v>0</v>
      </c>
      <c r="F92" s="298">
        <f>IF(E90&gt;0,E92/E90,0)</f>
        <v>0</v>
      </c>
      <c r="G92" s="298"/>
      <c r="H92" s="295"/>
      <c r="I92" s="295"/>
      <c r="J92" s="295"/>
      <c r="K92" s="295"/>
      <c r="L92" s="295"/>
      <c r="M92" s="295"/>
      <c r="N92" s="295"/>
      <c r="O92" s="295"/>
      <c r="P92" s="295"/>
      <c r="Q92" s="295"/>
      <c r="R92" s="295"/>
      <c r="S92" s="295"/>
    </row>
    <row r="93" spans="1:20">
      <c r="A93" s="1"/>
      <c r="B93" s="1" t="s">
        <v>282</v>
      </c>
      <c r="C93" s="1"/>
      <c r="D93" s="296"/>
      <c r="E93" s="294"/>
      <c r="F93" s="294"/>
      <c r="G93" s="294"/>
      <c r="H93" s="295"/>
      <c r="I93" s="295"/>
      <c r="J93" s="295"/>
      <c r="K93" s="295"/>
      <c r="L93" s="295"/>
      <c r="M93" s="295"/>
      <c r="N93" s="295"/>
      <c r="O93" s="295"/>
      <c r="P93" s="295"/>
      <c r="Q93" s="295"/>
      <c r="R93" s="295"/>
      <c r="S93" s="295"/>
    </row>
    <row r="94" spans="1:20" ht="12.75" thickBot="1">
      <c r="A94" s="1"/>
      <c r="B94" s="1"/>
      <c r="C94" s="1" t="s">
        <v>287</v>
      </c>
      <c r="D94" s="296"/>
      <c r="E94" s="294"/>
      <c r="F94" s="294"/>
      <c r="G94" s="294"/>
      <c r="H94" s="309">
        <f t="shared" ref="H94:S94" si="32">IF(H95=0,0,H95/$T95)</f>
        <v>0</v>
      </c>
      <c r="I94" s="309">
        <f t="shared" si="32"/>
        <v>0</v>
      </c>
      <c r="J94" s="309">
        <f t="shared" si="32"/>
        <v>0</v>
      </c>
      <c r="K94" s="309">
        <f t="shared" si="32"/>
        <v>0</v>
      </c>
      <c r="L94" s="309">
        <f t="shared" si="32"/>
        <v>0</v>
      </c>
      <c r="M94" s="309">
        <f t="shared" si="32"/>
        <v>0</v>
      </c>
      <c r="N94" s="309">
        <f t="shared" si="32"/>
        <v>0</v>
      </c>
      <c r="O94" s="309">
        <f t="shared" si="32"/>
        <v>0</v>
      </c>
      <c r="P94" s="309">
        <f t="shared" si="32"/>
        <v>0</v>
      </c>
      <c r="Q94" s="309">
        <f t="shared" si="32"/>
        <v>0</v>
      </c>
      <c r="R94" s="309">
        <f t="shared" si="32"/>
        <v>0</v>
      </c>
      <c r="S94" s="309">
        <f t="shared" si="32"/>
        <v>0</v>
      </c>
      <c r="T94" s="310">
        <f>SUM(H94:S94)</f>
        <v>0</v>
      </c>
    </row>
    <row r="95" spans="1:20">
      <c r="A95" s="1"/>
      <c r="B95" s="1"/>
      <c r="C95" s="1" t="str">
        <f>+$C$11</f>
        <v>Monthly Unit Sales Year 1</v>
      </c>
      <c r="D95" s="296"/>
      <c r="E95" s="294"/>
      <c r="F95" s="294"/>
      <c r="G95" s="294"/>
      <c r="H95" s="301"/>
      <c r="I95" s="301"/>
      <c r="J95" s="301"/>
      <c r="K95" s="301"/>
      <c r="L95" s="301"/>
      <c r="M95" s="301"/>
      <c r="N95" s="301"/>
      <c r="O95" s="301"/>
      <c r="P95" s="301"/>
      <c r="Q95" s="301"/>
      <c r="R95" s="301"/>
      <c r="S95" s="301"/>
      <c r="T95" s="233">
        <f>SUM(H95:S95)</f>
        <v>0</v>
      </c>
    </row>
    <row r="96" spans="1:20">
      <c r="A96" s="1"/>
      <c r="B96" s="1"/>
      <c r="C96" s="1" t="s">
        <v>404</v>
      </c>
      <c r="D96" s="296"/>
      <c r="E96" s="302">
        <v>0</v>
      </c>
      <c r="F96" s="303"/>
      <c r="G96" s="298"/>
      <c r="H96" s="313">
        <f>IF($E96=0,S95,ROUND((1+($E96/12))*S95,0))</f>
        <v>0</v>
      </c>
      <c r="I96" s="313">
        <f>IF($E96=0,H96,ROUND((1+($E96/12))*H96,0))</f>
        <v>0</v>
      </c>
      <c r="J96" s="313">
        <f t="shared" ref="J96:S97" si="33">IF($E96=0,I96,ROUND((1+($E96/12))*I96,0))</f>
        <v>0</v>
      </c>
      <c r="K96" s="313">
        <f t="shared" si="33"/>
        <v>0</v>
      </c>
      <c r="L96" s="313">
        <f t="shared" si="33"/>
        <v>0</v>
      </c>
      <c r="M96" s="313">
        <f t="shared" si="33"/>
        <v>0</v>
      </c>
      <c r="N96" s="313">
        <f t="shared" si="33"/>
        <v>0</v>
      </c>
      <c r="O96" s="313">
        <f t="shared" si="33"/>
        <v>0</v>
      </c>
      <c r="P96" s="313">
        <f t="shared" si="33"/>
        <v>0</v>
      </c>
      <c r="Q96" s="313">
        <f t="shared" si="33"/>
        <v>0</v>
      </c>
      <c r="R96" s="313">
        <f t="shared" si="33"/>
        <v>0</v>
      </c>
      <c r="S96" s="313">
        <f t="shared" si="33"/>
        <v>0</v>
      </c>
      <c r="T96" s="233">
        <f>SUM(H96:S96)</f>
        <v>0</v>
      </c>
    </row>
    <row r="97" spans="1:20">
      <c r="A97" s="296"/>
      <c r="B97" s="1"/>
      <c r="C97" s="1" t="s">
        <v>405</v>
      </c>
      <c r="D97" s="296"/>
      <c r="E97" s="302">
        <v>0</v>
      </c>
      <c r="F97" s="294"/>
      <c r="G97" s="298"/>
      <c r="H97" s="313">
        <f>IF($E97=0,S96,ROUND((1+($E97/12))*S96,0))</f>
        <v>0</v>
      </c>
      <c r="I97" s="313">
        <f>IF($E97=0,H97,ROUND((1+($E97/12))*H97,0))</f>
        <v>0</v>
      </c>
      <c r="J97" s="313">
        <f t="shared" si="33"/>
        <v>0</v>
      </c>
      <c r="K97" s="313">
        <f t="shared" si="33"/>
        <v>0</v>
      </c>
      <c r="L97" s="313">
        <f t="shared" si="33"/>
        <v>0</v>
      </c>
      <c r="M97" s="313">
        <f t="shared" si="33"/>
        <v>0</v>
      </c>
      <c r="N97" s="313">
        <f t="shared" si="33"/>
        <v>0</v>
      </c>
      <c r="O97" s="313">
        <f t="shared" si="33"/>
        <v>0</v>
      </c>
      <c r="P97" s="313">
        <f t="shared" si="33"/>
        <v>0</v>
      </c>
      <c r="Q97" s="313">
        <f t="shared" si="33"/>
        <v>0</v>
      </c>
      <c r="R97" s="313">
        <f t="shared" si="33"/>
        <v>0</v>
      </c>
      <c r="S97" s="313">
        <f t="shared" si="33"/>
        <v>0</v>
      </c>
      <c r="T97" s="233">
        <f>SUM(H97:S97)</f>
        <v>0</v>
      </c>
    </row>
    <row r="98" spans="1:20">
      <c r="A98" s="296"/>
      <c r="B98" s="344" t="s">
        <v>115</v>
      </c>
      <c r="C98" s="1"/>
      <c r="D98" s="296"/>
      <c r="E98" s="302"/>
      <c r="F98" s="294"/>
      <c r="G98" s="298"/>
      <c r="H98" s="304"/>
      <c r="I98" s="304"/>
      <c r="J98" s="304"/>
      <c r="K98" s="304"/>
      <c r="L98" s="304"/>
      <c r="M98" s="304"/>
      <c r="N98" s="304"/>
      <c r="O98" s="304"/>
      <c r="P98" s="304"/>
      <c r="Q98" s="304"/>
      <c r="R98" s="304"/>
      <c r="S98" s="304"/>
    </row>
    <row r="99" spans="1:20">
      <c r="A99" s="296"/>
      <c r="B99" s="1"/>
      <c r="C99" s="1"/>
      <c r="D99" s="296"/>
      <c r="E99" s="294"/>
      <c r="F99" s="294"/>
      <c r="G99" s="294"/>
      <c r="H99" s="295"/>
      <c r="I99" s="295"/>
      <c r="J99" s="295"/>
      <c r="K99" s="295"/>
      <c r="L99" s="295"/>
      <c r="M99" s="295"/>
      <c r="N99" s="295"/>
      <c r="O99" s="295"/>
      <c r="P99" s="295"/>
      <c r="Q99" s="295"/>
      <c r="R99" s="295"/>
      <c r="S99" s="295"/>
    </row>
    <row r="100" spans="1:20">
      <c r="A100" s="296"/>
      <c r="B100" s="1" t="s">
        <v>28</v>
      </c>
      <c r="C100" s="1"/>
      <c r="D100" s="296"/>
      <c r="E100" s="305">
        <f>T95*E90</f>
        <v>0</v>
      </c>
      <c r="F100" s="298"/>
      <c r="G100" s="294"/>
      <c r="H100" s="295">
        <f>+H95*$E90</f>
        <v>0</v>
      </c>
      <c r="I100" s="295">
        <f t="shared" ref="I100:S100" si="34">+I95*$E90</f>
        <v>0</v>
      </c>
      <c r="J100" s="295">
        <f t="shared" si="34"/>
        <v>0</v>
      </c>
      <c r="K100" s="295">
        <f t="shared" si="34"/>
        <v>0</v>
      </c>
      <c r="L100" s="295">
        <f t="shared" si="34"/>
        <v>0</v>
      </c>
      <c r="M100" s="295">
        <f t="shared" si="34"/>
        <v>0</v>
      </c>
      <c r="N100" s="295">
        <f t="shared" si="34"/>
        <v>0</v>
      </c>
      <c r="O100" s="295">
        <f t="shared" si="34"/>
        <v>0</v>
      </c>
      <c r="P100" s="295">
        <f t="shared" si="34"/>
        <v>0</v>
      </c>
      <c r="Q100" s="295">
        <f t="shared" si="34"/>
        <v>0</v>
      </c>
      <c r="R100" s="295">
        <f t="shared" si="34"/>
        <v>0</v>
      </c>
      <c r="S100" s="295">
        <f t="shared" si="34"/>
        <v>0</v>
      </c>
      <c r="T100" s="233">
        <f>SUM(H100:S100)</f>
        <v>0</v>
      </c>
    </row>
    <row r="101" spans="1:20">
      <c r="A101" s="296"/>
      <c r="B101" s="1" t="s">
        <v>389</v>
      </c>
      <c r="C101" s="1"/>
      <c r="D101" s="296"/>
      <c r="E101" s="306">
        <f>E91*T95</f>
        <v>0</v>
      </c>
      <c r="F101" s="298"/>
      <c r="G101" s="294"/>
      <c r="H101" s="295">
        <f>+H95*$E91</f>
        <v>0</v>
      </c>
      <c r="I101" s="295">
        <f t="shared" ref="I101:S101" si="35">+I95*$E91</f>
        <v>0</v>
      </c>
      <c r="J101" s="295">
        <f t="shared" si="35"/>
        <v>0</v>
      </c>
      <c r="K101" s="295">
        <f t="shared" si="35"/>
        <v>0</v>
      </c>
      <c r="L101" s="295">
        <f t="shared" si="35"/>
        <v>0</v>
      </c>
      <c r="M101" s="295">
        <f t="shared" si="35"/>
        <v>0</v>
      </c>
      <c r="N101" s="295">
        <f t="shared" si="35"/>
        <v>0</v>
      </c>
      <c r="O101" s="295">
        <f t="shared" si="35"/>
        <v>0</v>
      </c>
      <c r="P101" s="295">
        <f t="shared" si="35"/>
        <v>0</v>
      </c>
      <c r="Q101" s="295">
        <f t="shared" si="35"/>
        <v>0</v>
      </c>
      <c r="R101" s="295">
        <f t="shared" si="35"/>
        <v>0</v>
      </c>
      <c r="S101" s="295">
        <f t="shared" si="35"/>
        <v>0</v>
      </c>
      <c r="T101" s="233">
        <f>SUM(H101:S101)</f>
        <v>0</v>
      </c>
    </row>
    <row r="102" spans="1:20">
      <c r="A102" s="1"/>
      <c r="B102" s="356"/>
      <c r="C102" s="334" t="s">
        <v>409</v>
      </c>
      <c r="D102" s="356"/>
      <c r="E102" s="306"/>
      <c r="F102" s="298"/>
      <c r="G102" s="294"/>
      <c r="H102" s="365">
        <f>+H95*($E$91-'4.Cost of Goods-Svcs Sold'!$H$25)</f>
        <v>0</v>
      </c>
      <c r="I102" s="365">
        <f>+I95*($E$91-'4.Cost of Goods-Svcs Sold'!$H$25)</f>
        <v>0</v>
      </c>
      <c r="J102" s="365">
        <f>+J95*($E$91-'4.Cost of Goods-Svcs Sold'!$H$25)</f>
        <v>0</v>
      </c>
      <c r="K102" s="365">
        <f>+K95*($E$91-'4.Cost of Goods-Svcs Sold'!$H$25)</f>
        <v>0</v>
      </c>
      <c r="L102" s="365">
        <f>+L95*($E$91-'4.Cost of Goods-Svcs Sold'!$H$25)</f>
        <v>0</v>
      </c>
      <c r="M102" s="365">
        <f>+M95*($E$91-'4.Cost of Goods-Svcs Sold'!$H$25)</f>
        <v>0</v>
      </c>
      <c r="N102" s="365">
        <f>+N95*($E$91-'4.Cost of Goods-Svcs Sold'!$H$25)</f>
        <v>0</v>
      </c>
      <c r="O102" s="365">
        <f>+O95*($E$91-'4.Cost of Goods-Svcs Sold'!$H$25)</f>
        <v>0</v>
      </c>
      <c r="P102" s="365">
        <f>+P95*($E$91-'4.Cost of Goods-Svcs Sold'!$H$25)</f>
        <v>0</v>
      </c>
      <c r="Q102" s="365">
        <f>+Q95*($E$91-'4.Cost of Goods-Svcs Sold'!$H$25)</f>
        <v>0</v>
      </c>
      <c r="R102" s="365">
        <f>+R95*($E$91-'4.Cost of Goods-Svcs Sold'!$H$25)</f>
        <v>0</v>
      </c>
      <c r="S102" s="365">
        <f>+S95*($E$91-'4.Cost of Goods-Svcs Sold'!$H$25)</f>
        <v>0</v>
      </c>
    </row>
    <row r="103" spans="1:20">
      <c r="A103" s="1"/>
      <c r="B103" s="1" t="s">
        <v>30</v>
      </c>
      <c r="C103" s="1"/>
      <c r="D103" s="296"/>
      <c r="E103" s="306"/>
      <c r="F103" s="298"/>
      <c r="G103" s="298"/>
      <c r="H103" s="295">
        <f>+H96*$E90</f>
        <v>0</v>
      </c>
      <c r="I103" s="295">
        <f t="shared" ref="I103:S103" si="36">+I96*$E90</f>
        <v>0</v>
      </c>
      <c r="J103" s="295">
        <f t="shared" si="36"/>
        <v>0</v>
      </c>
      <c r="K103" s="295">
        <f t="shared" si="36"/>
        <v>0</v>
      </c>
      <c r="L103" s="295">
        <f t="shared" si="36"/>
        <v>0</v>
      </c>
      <c r="M103" s="295">
        <f t="shared" si="36"/>
        <v>0</v>
      </c>
      <c r="N103" s="295">
        <f t="shared" si="36"/>
        <v>0</v>
      </c>
      <c r="O103" s="295">
        <f t="shared" si="36"/>
        <v>0</v>
      </c>
      <c r="P103" s="295">
        <f t="shared" si="36"/>
        <v>0</v>
      </c>
      <c r="Q103" s="295">
        <f t="shared" si="36"/>
        <v>0</v>
      </c>
      <c r="R103" s="295">
        <f t="shared" si="36"/>
        <v>0</v>
      </c>
      <c r="S103" s="295">
        <f t="shared" si="36"/>
        <v>0</v>
      </c>
      <c r="T103" s="233">
        <f>SUM(H103:S103)</f>
        <v>0</v>
      </c>
    </row>
    <row r="104" spans="1:20">
      <c r="A104" s="1"/>
      <c r="B104" s="1" t="s">
        <v>390</v>
      </c>
      <c r="C104" s="1"/>
      <c r="D104" s="296"/>
      <c r="E104" s="306"/>
      <c r="F104" s="298"/>
      <c r="G104" s="298"/>
      <c r="H104" s="295">
        <f>+H96*$E91</f>
        <v>0</v>
      </c>
      <c r="I104" s="295">
        <f t="shared" ref="I104:S104" si="37">+I96*$E91</f>
        <v>0</v>
      </c>
      <c r="J104" s="295">
        <f t="shared" si="37"/>
        <v>0</v>
      </c>
      <c r="K104" s="295">
        <f t="shared" si="37"/>
        <v>0</v>
      </c>
      <c r="L104" s="295">
        <f t="shared" si="37"/>
        <v>0</v>
      </c>
      <c r="M104" s="295">
        <f t="shared" si="37"/>
        <v>0</v>
      </c>
      <c r="N104" s="295">
        <f t="shared" si="37"/>
        <v>0</v>
      </c>
      <c r="O104" s="295">
        <f t="shared" si="37"/>
        <v>0</v>
      </c>
      <c r="P104" s="295">
        <f t="shared" si="37"/>
        <v>0</v>
      </c>
      <c r="Q104" s="295">
        <f t="shared" si="37"/>
        <v>0</v>
      </c>
      <c r="R104" s="295">
        <f t="shared" si="37"/>
        <v>0</v>
      </c>
      <c r="S104" s="295">
        <f t="shared" si="37"/>
        <v>0</v>
      </c>
      <c r="T104" s="233">
        <f>SUM(H104:S104)</f>
        <v>0</v>
      </c>
    </row>
    <row r="105" spans="1:20">
      <c r="A105" s="1"/>
      <c r="B105" s="334"/>
      <c r="C105" s="334" t="s">
        <v>409</v>
      </c>
      <c r="D105" s="356"/>
      <c r="E105" s="294"/>
      <c r="F105" s="294"/>
      <c r="G105" s="294"/>
      <c r="H105" s="365">
        <f>+H96*($E$91-'4.Cost of Goods-Svcs Sold'!$H$25)</f>
        <v>0</v>
      </c>
      <c r="I105" s="365">
        <f>+I96*($E$91-'4.Cost of Goods-Svcs Sold'!$H$25)</f>
        <v>0</v>
      </c>
      <c r="J105" s="365">
        <f>+J96*($E$91-'4.Cost of Goods-Svcs Sold'!$H$25)</f>
        <v>0</v>
      </c>
      <c r="K105" s="365">
        <f>+K96*($E$91-'4.Cost of Goods-Svcs Sold'!$H$25)</f>
        <v>0</v>
      </c>
      <c r="L105" s="365">
        <f>+L96*($E$91-'4.Cost of Goods-Svcs Sold'!$H$25)</f>
        <v>0</v>
      </c>
      <c r="M105" s="365">
        <f>+M96*($E$91-'4.Cost of Goods-Svcs Sold'!$H$25)</f>
        <v>0</v>
      </c>
      <c r="N105" s="365">
        <f>+N96*($E$91-'4.Cost of Goods-Svcs Sold'!$H$25)</f>
        <v>0</v>
      </c>
      <c r="O105" s="365">
        <f>+O96*($E$91-'4.Cost of Goods-Svcs Sold'!$H$25)</f>
        <v>0</v>
      </c>
      <c r="P105" s="365">
        <f>+P96*($E$91-'4.Cost of Goods-Svcs Sold'!$H$25)</f>
        <v>0</v>
      </c>
      <c r="Q105" s="365">
        <f>+Q96*($E$91-'4.Cost of Goods-Svcs Sold'!$H$25)</f>
        <v>0</v>
      </c>
      <c r="R105" s="365">
        <f>+R96*($E$91-'4.Cost of Goods-Svcs Sold'!$H$25)</f>
        <v>0</v>
      </c>
      <c r="S105" s="365">
        <f>+S96*($E$91-'4.Cost of Goods-Svcs Sold'!$H$25)</f>
        <v>0</v>
      </c>
    </row>
    <row r="106" spans="1:20">
      <c r="A106" s="1"/>
      <c r="B106" s="1" t="s">
        <v>32</v>
      </c>
      <c r="C106" s="1"/>
      <c r="D106" s="296"/>
      <c r="E106" s="307"/>
      <c r="F106" s="294"/>
      <c r="G106" s="294"/>
      <c r="H106" s="295">
        <f>+H97*$E90</f>
        <v>0</v>
      </c>
      <c r="I106" s="295">
        <f t="shared" ref="I106:S106" si="38">+I97*$E90</f>
        <v>0</v>
      </c>
      <c r="J106" s="295">
        <f t="shared" si="38"/>
        <v>0</v>
      </c>
      <c r="K106" s="295">
        <f t="shared" si="38"/>
        <v>0</v>
      </c>
      <c r="L106" s="295">
        <f t="shared" si="38"/>
        <v>0</v>
      </c>
      <c r="M106" s="295">
        <f t="shared" si="38"/>
        <v>0</v>
      </c>
      <c r="N106" s="295">
        <f t="shared" si="38"/>
        <v>0</v>
      </c>
      <c r="O106" s="295">
        <f t="shared" si="38"/>
        <v>0</v>
      </c>
      <c r="P106" s="295">
        <f t="shared" si="38"/>
        <v>0</v>
      </c>
      <c r="Q106" s="295">
        <f t="shared" si="38"/>
        <v>0</v>
      </c>
      <c r="R106" s="295">
        <f t="shared" si="38"/>
        <v>0</v>
      </c>
      <c r="S106" s="295">
        <f t="shared" si="38"/>
        <v>0</v>
      </c>
      <c r="T106" s="233">
        <f>SUM(H106:S106)</f>
        <v>0</v>
      </c>
    </row>
    <row r="107" spans="1:20">
      <c r="A107" s="1"/>
      <c r="B107" s="1" t="s">
        <v>391</v>
      </c>
      <c r="C107" s="1"/>
      <c r="D107" s="296"/>
      <c r="E107" s="308"/>
      <c r="F107" s="298"/>
      <c r="G107" s="298"/>
      <c r="H107" s="295">
        <f>+H97*$E91</f>
        <v>0</v>
      </c>
      <c r="I107" s="295">
        <f t="shared" ref="I107:S107" si="39">+I97*$E91</f>
        <v>0</v>
      </c>
      <c r="J107" s="295">
        <f t="shared" si="39"/>
        <v>0</v>
      </c>
      <c r="K107" s="295">
        <f t="shared" si="39"/>
        <v>0</v>
      </c>
      <c r="L107" s="295">
        <f t="shared" si="39"/>
        <v>0</v>
      </c>
      <c r="M107" s="295">
        <f t="shared" si="39"/>
        <v>0</v>
      </c>
      <c r="N107" s="295">
        <f t="shared" si="39"/>
        <v>0</v>
      </c>
      <c r="O107" s="295">
        <f t="shared" si="39"/>
        <v>0</v>
      </c>
      <c r="P107" s="295">
        <f t="shared" si="39"/>
        <v>0</v>
      </c>
      <c r="Q107" s="295">
        <f t="shared" si="39"/>
        <v>0</v>
      </c>
      <c r="R107" s="295">
        <f t="shared" si="39"/>
        <v>0</v>
      </c>
      <c r="S107" s="295">
        <f t="shared" si="39"/>
        <v>0</v>
      </c>
      <c r="T107" s="233">
        <f>SUM(H107:S107)</f>
        <v>0</v>
      </c>
    </row>
    <row r="108" spans="1:20">
      <c r="B108" s="356"/>
      <c r="C108" s="334" t="s">
        <v>409</v>
      </c>
      <c r="D108" s="356"/>
      <c r="H108" s="365">
        <f>+H97*($E$91-'4.Cost of Goods-Svcs Sold'!$H$25)</f>
        <v>0</v>
      </c>
      <c r="I108" s="365">
        <f>+I97*($E$91-'4.Cost of Goods-Svcs Sold'!$H$25)</f>
        <v>0</v>
      </c>
      <c r="J108" s="365">
        <f>+J97*($E$91-'4.Cost of Goods-Svcs Sold'!$H$25)</f>
        <v>0</v>
      </c>
      <c r="K108" s="365">
        <f>+K97*($E$91-'4.Cost of Goods-Svcs Sold'!$H$25)</f>
        <v>0</v>
      </c>
      <c r="L108" s="365">
        <f>+L97*($E$91-'4.Cost of Goods-Svcs Sold'!$H$25)</f>
        <v>0</v>
      </c>
      <c r="M108" s="365">
        <f>+M97*($E$91-'4.Cost of Goods-Svcs Sold'!$H$25)</f>
        <v>0</v>
      </c>
      <c r="N108" s="365">
        <f>+N97*($E$91-'4.Cost of Goods-Svcs Sold'!$H$25)</f>
        <v>0</v>
      </c>
      <c r="O108" s="365">
        <f>+O97*($E$91-'4.Cost of Goods-Svcs Sold'!$H$25)</f>
        <v>0</v>
      </c>
      <c r="P108" s="365">
        <f>+P97*($E$91-'4.Cost of Goods-Svcs Sold'!$H$25)</f>
        <v>0</v>
      </c>
      <c r="Q108" s="365">
        <f>+Q97*($E$91-'4.Cost of Goods-Svcs Sold'!$H$25)</f>
        <v>0</v>
      </c>
      <c r="R108" s="365">
        <f>+R97*($E$91-'4.Cost of Goods-Svcs Sold'!$H$25)</f>
        <v>0</v>
      </c>
      <c r="S108" s="365">
        <f>+S97*($E$91-'4.Cost of Goods-Svcs Sold'!$H$25)</f>
        <v>0</v>
      </c>
    </row>
    <row r="110" spans="1:20">
      <c r="A110" s="225" t="str">
        <f>+'4.Cost of Goods-Svcs Sold'!J24</f>
        <v>Product/Service 12</v>
      </c>
      <c r="B110" s="225"/>
      <c r="C110" s="225"/>
      <c r="D110" s="225"/>
      <c r="E110" s="294"/>
      <c r="F110" s="294"/>
      <c r="G110" s="294"/>
      <c r="H110" s="295"/>
      <c r="I110" s="295"/>
      <c r="J110" s="295"/>
      <c r="K110" s="295"/>
      <c r="L110" s="295"/>
      <c r="M110" s="295"/>
      <c r="N110" s="295"/>
      <c r="O110" s="295"/>
      <c r="P110" s="295"/>
      <c r="Q110" s="295"/>
      <c r="R110" s="295"/>
      <c r="S110" s="295"/>
    </row>
    <row r="111" spans="1:20">
      <c r="A111" s="1"/>
      <c r="B111" s="1" t="s">
        <v>276</v>
      </c>
      <c r="C111" s="1"/>
      <c r="D111" s="296"/>
      <c r="E111" s="297"/>
      <c r="F111" s="298">
        <v>1</v>
      </c>
      <c r="G111" s="298"/>
      <c r="H111" s="295"/>
      <c r="I111" s="295"/>
      <c r="J111" s="295"/>
      <c r="K111" s="295"/>
      <c r="L111" s="295"/>
      <c r="M111" s="295"/>
      <c r="N111" s="295"/>
      <c r="O111" s="295"/>
      <c r="P111" s="295"/>
      <c r="Q111" s="295"/>
      <c r="R111" s="295"/>
      <c r="S111" s="295"/>
    </row>
    <row r="112" spans="1:20">
      <c r="A112" s="1"/>
      <c r="B112" s="1" t="s">
        <v>403</v>
      </c>
      <c r="C112" s="1"/>
      <c r="D112" s="296"/>
      <c r="E112" s="397">
        <f>+'4.Cost of Goods-Svcs Sold'!K31</f>
        <v>0</v>
      </c>
      <c r="F112" s="299">
        <f>IF(E111&gt;0,E112/E111,0)</f>
        <v>0</v>
      </c>
      <c r="G112" s="298"/>
      <c r="H112" s="295"/>
      <c r="I112" s="295"/>
      <c r="J112" s="295"/>
      <c r="K112" s="295"/>
      <c r="L112" s="295"/>
      <c r="M112" s="295"/>
      <c r="N112" s="295"/>
      <c r="O112" s="295"/>
      <c r="P112" s="295"/>
      <c r="Q112" s="295"/>
      <c r="R112" s="295"/>
      <c r="S112" s="295"/>
    </row>
    <row r="113" spans="1:20">
      <c r="A113" s="1"/>
      <c r="B113" s="1" t="s">
        <v>289</v>
      </c>
      <c r="C113" s="1"/>
      <c r="D113" s="296"/>
      <c r="E113" s="300">
        <f>E111-E112</f>
        <v>0</v>
      </c>
      <c r="F113" s="298">
        <f>IF(E111&gt;0,E113/E111,0)</f>
        <v>0</v>
      </c>
      <c r="G113" s="298"/>
      <c r="H113" s="295"/>
      <c r="I113" s="295"/>
      <c r="J113" s="295"/>
      <c r="K113" s="295"/>
      <c r="L113" s="295"/>
      <c r="M113" s="295"/>
      <c r="N113" s="295"/>
      <c r="O113" s="295"/>
      <c r="P113" s="295"/>
      <c r="Q113" s="295"/>
      <c r="R113" s="295"/>
      <c r="S113" s="295"/>
    </row>
    <row r="114" spans="1:20">
      <c r="A114" s="1"/>
      <c r="B114" s="1" t="s">
        <v>282</v>
      </c>
      <c r="C114" s="1"/>
      <c r="D114" s="296"/>
      <c r="E114" s="294"/>
      <c r="F114" s="294"/>
      <c r="G114" s="294"/>
      <c r="H114" s="295"/>
      <c r="I114" s="295"/>
      <c r="J114" s="295"/>
      <c r="K114" s="295"/>
      <c r="L114" s="295"/>
      <c r="M114" s="295"/>
      <c r="N114" s="295"/>
      <c r="O114" s="295"/>
      <c r="P114" s="295"/>
      <c r="Q114" s="295"/>
      <c r="R114" s="295"/>
      <c r="S114" s="295"/>
    </row>
    <row r="115" spans="1:20" ht="12.75" thickBot="1">
      <c r="A115" s="1"/>
      <c r="B115" s="1"/>
      <c r="C115" s="1" t="s">
        <v>287</v>
      </c>
      <c r="D115" s="296"/>
      <c r="E115" s="294"/>
      <c r="F115" s="294"/>
      <c r="G115" s="294"/>
      <c r="H115" s="309">
        <f t="shared" ref="H115:S115" si="40">IF(H116=0,0,H116/$T116)</f>
        <v>0</v>
      </c>
      <c r="I115" s="309">
        <f t="shared" si="40"/>
        <v>0</v>
      </c>
      <c r="J115" s="309">
        <f t="shared" si="40"/>
        <v>0</v>
      </c>
      <c r="K115" s="309">
        <f t="shared" si="40"/>
        <v>0</v>
      </c>
      <c r="L115" s="309">
        <f t="shared" si="40"/>
        <v>0</v>
      </c>
      <c r="M115" s="309">
        <f t="shared" si="40"/>
        <v>0</v>
      </c>
      <c r="N115" s="309">
        <f t="shared" si="40"/>
        <v>0</v>
      </c>
      <c r="O115" s="309">
        <f t="shared" si="40"/>
        <v>0</v>
      </c>
      <c r="P115" s="309">
        <f t="shared" si="40"/>
        <v>0</v>
      </c>
      <c r="Q115" s="309">
        <f t="shared" si="40"/>
        <v>0</v>
      </c>
      <c r="R115" s="309">
        <f t="shared" si="40"/>
        <v>0</v>
      </c>
      <c r="S115" s="309">
        <f t="shared" si="40"/>
        <v>0</v>
      </c>
      <c r="T115" s="310">
        <f>SUM(H115:S115)</f>
        <v>0</v>
      </c>
    </row>
    <row r="116" spans="1:20">
      <c r="A116" s="1"/>
      <c r="B116" s="1"/>
      <c r="C116" s="1" t="str">
        <f>+$C$11</f>
        <v>Monthly Unit Sales Year 1</v>
      </c>
      <c r="D116" s="296"/>
      <c r="E116" s="294"/>
      <c r="F116" s="294"/>
      <c r="G116" s="294"/>
      <c r="H116" s="301"/>
      <c r="I116" s="301"/>
      <c r="J116" s="301"/>
      <c r="K116" s="301"/>
      <c r="L116" s="301"/>
      <c r="M116" s="301"/>
      <c r="N116" s="301"/>
      <c r="O116" s="301"/>
      <c r="P116" s="301"/>
      <c r="Q116" s="301"/>
      <c r="R116" s="301"/>
      <c r="S116" s="301"/>
      <c r="T116" s="233">
        <f>SUM(H116:S116)</f>
        <v>0</v>
      </c>
    </row>
    <row r="117" spans="1:20">
      <c r="A117" s="1"/>
      <c r="B117" s="1"/>
      <c r="C117" s="1" t="s">
        <v>404</v>
      </c>
      <c r="D117" s="296"/>
      <c r="E117" s="302">
        <v>0</v>
      </c>
      <c r="F117" s="303"/>
      <c r="G117" s="298"/>
      <c r="H117" s="313">
        <f>IF($E117=0,S116,ROUND((1+($E117/12))*S116,0))</f>
        <v>0</v>
      </c>
      <c r="I117" s="313">
        <f>IF($E117=0,H117,ROUND((1+($E117/12))*H117,0))</f>
        <v>0</v>
      </c>
      <c r="J117" s="313">
        <f t="shared" ref="J117:S118" si="41">IF($E117=0,I117,ROUND((1+($E117/12))*I117,0))</f>
        <v>0</v>
      </c>
      <c r="K117" s="313">
        <f t="shared" si="41"/>
        <v>0</v>
      </c>
      <c r="L117" s="313">
        <f t="shared" si="41"/>
        <v>0</v>
      </c>
      <c r="M117" s="313">
        <f t="shared" si="41"/>
        <v>0</v>
      </c>
      <c r="N117" s="313">
        <f t="shared" si="41"/>
        <v>0</v>
      </c>
      <c r="O117" s="313">
        <f t="shared" si="41"/>
        <v>0</v>
      </c>
      <c r="P117" s="313">
        <f t="shared" si="41"/>
        <v>0</v>
      </c>
      <c r="Q117" s="313">
        <f t="shared" si="41"/>
        <v>0</v>
      </c>
      <c r="R117" s="313">
        <f t="shared" si="41"/>
        <v>0</v>
      </c>
      <c r="S117" s="313">
        <f t="shared" si="41"/>
        <v>0</v>
      </c>
      <c r="T117" s="233">
        <f>SUM(H117:S117)</f>
        <v>0</v>
      </c>
    </row>
    <row r="118" spans="1:20">
      <c r="A118" s="296"/>
      <c r="B118" s="1"/>
      <c r="C118" s="1" t="s">
        <v>405</v>
      </c>
      <c r="D118" s="296"/>
      <c r="E118" s="302">
        <v>0</v>
      </c>
      <c r="F118" s="294"/>
      <c r="G118" s="298"/>
      <c r="H118" s="313">
        <f>IF($E118=0,S117,ROUND((1+($E118/12))*S117,0))</f>
        <v>0</v>
      </c>
      <c r="I118" s="313">
        <f>IF($E118=0,H118,ROUND((1+($E118/12))*H118,0))</f>
        <v>0</v>
      </c>
      <c r="J118" s="313">
        <f t="shared" si="41"/>
        <v>0</v>
      </c>
      <c r="K118" s="313">
        <f t="shared" si="41"/>
        <v>0</v>
      </c>
      <c r="L118" s="313">
        <f t="shared" si="41"/>
        <v>0</v>
      </c>
      <c r="M118" s="313">
        <f t="shared" si="41"/>
        <v>0</v>
      </c>
      <c r="N118" s="313">
        <f t="shared" si="41"/>
        <v>0</v>
      </c>
      <c r="O118" s="313">
        <f t="shared" si="41"/>
        <v>0</v>
      </c>
      <c r="P118" s="313">
        <f t="shared" si="41"/>
        <v>0</v>
      </c>
      <c r="Q118" s="313">
        <f t="shared" si="41"/>
        <v>0</v>
      </c>
      <c r="R118" s="313">
        <f t="shared" si="41"/>
        <v>0</v>
      </c>
      <c r="S118" s="313">
        <f t="shared" si="41"/>
        <v>0</v>
      </c>
      <c r="T118" s="233">
        <f>SUM(H118:S118)</f>
        <v>0</v>
      </c>
    </row>
    <row r="119" spans="1:20">
      <c r="A119" s="296"/>
      <c r="B119" s="344" t="s">
        <v>115</v>
      </c>
      <c r="C119" s="1"/>
      <c r="D119" s="296"/>
      <c r="E119" s="302"/>
      <c r="F119" s="294"/>
      <c r="G119" s="298"/>
      <c r="H119" s="304"/>
      <c r="I119" s="304"/>
      <c r="J119" s="304"/>
      <c r="K119" s="304"/>
      <c r="L119" s="304"/>
      <c r="M119" s="304"/>
      <c r="N119" s="304"/>
      <c r="O119" s="304"/>
      <c r="P119" s="304"/>
      <c r="Q119" s="304"/>
      <c r="R119" s="304"/>
      <c r="S119" s="304"/>
    </row>
    <row r="120" spans="1:20">
      <c r="A120" s="296"/>
      <c r="B120" s="1"/>
      <c r="C120" s="1"/>
      <c r="D120" s="296"/>
      <c r="E120" s="294"/>
      <c r="F120" s="294"/>
      <c r="G120" s="294"/>
      <c r="H120" s="295"/>
      <c r="I120" s="295"/>
      <c r="J120" s="295"/>
      <c r="K120" s="295"/>
      <c r="L120" s="295"/>
      <c r="M120" s="295"/>
      <c r="N120" s="295"/>
      <c r="O120" s="295"/>
      <c r="P120" s="295"/>
      <c r="Q120" s="295"/>
      <c r="R120" s="295"/>
      <c r="S120" s="295"/>
    </row>
    <row r="121" spans="1:20">
      <c r="A121" s="296"/>
      <c r="B121" s="1" t="s">
        <v>28</v>
      </c>
      <c r="C121" s="1"/>
      <c r="D121" s="296"/>
      <c r="E121" s="305">
        <f>T116*E111</f>
        <v>0</v>
      </c>
      <c r="F121" s="298"/>
      <c r="G121" s="294"/>
      <c r="H121" s="295">
        <f>+H116*$E111</f>
        <v>0</v>
      </c>
      <c r="I121" s="295">
        <f t="shared" ref="I121:S121" si="42">+I116*$E111</f>
        <v>0</v>
      </c>
      <c r="J121" s="295">
        <f t="shared" si="42"/>
        <v>0</v>
      </c>
      <c r="K121" s="295">
        <f t="shared" si="42"/>
        <v>0</v>
      </c>
      <c r="L121" s="295">
        <f t="shared" si="42"/>
        <v>0</v>
      </c>
      <c r="M121" s="295">
        <f t="shared" si="42"/>
        <v>0</v>
      </c>
      <c r="N121" s="295">
        <f t="shared" si="42"/>
        <v>0</v>
      </c>
      <c r="O121" s="295">
        <f t="shared" si="42"/>
        <v>0</v>
      </c>
      <c r="P121" s="295">
        <f t="shared" si="42"/>
        <v>0</v>
      </c>
      <c r="Q121" s="295">
        <f t="shared" si="42"/>
        <v>0</v>
      </c>
      <c r="R121" s="295">
        <f t="shared" si="42"/>
        <v>0</v>
      </c>
      <c r="S121" s="295">
        <f t="shared" si="42"/>
        <v>0</v>
      </c>
      <c r="T121" s="233">
        <f>SUM(H121:S121)</f>
        <v>0</v>
      </c>
    </row>
    <row r="122" spans="1:20">
      <c r="A122" s="296"/>
      <c r="B122" s="1" t="s">
        <v>389</v>
      </c>
      <c r="C122" s="1"/>
      <c r="D122" s="296"/>
      <c r="E122" s="306">
        <f>E112*T116</f>
        <v>0</v>
      </c>
      <c r="F122" s="298"/>
      <c r="G122" s="294"/>
      <c r="H122" s="295">
        <f>+H116*$E112</f>
        <v>0</v>
      </c>
      <c r="I122" s="295">
        <f t="shared" ref="I122:S122" si="43">+I116*$E112</f>
        <v>0</v>
      </c>
      <c r="J122" s="295">
        <f t="shared" si="43"/>
        <v>0</v>
      </c>
      <c r="K122" s="295">
        <f t="shared" si="43"/>
        <v>0</v>
      </c>
      <c r="L122" s="295">
        <f t="shared" si="43"/>
        <v>0</v>
      </c>
      <c r="M122" s="295">
        <f t="shared" si="43"/>
        <v>0</v>
      </c>
      <c r="N122" s="295">
        <f t="shared" si="43"/>
        <v>0</v>
      </c>
      <c r="O122" s="295">
        <f t="shared" si="43"/>
        <v>0</v>
      </c>
      <c r="P122" s="295">
        <f t="shared" si="43"/>
        <v>0</v>
      </c>
      <c r="Q122" s="295">
        <f t="shared" si="43"/>
        <v>0</v>
      </c>
      <c r="R122" s="295">
        <f t="shared" si="43"/>
        <v>0</v>
      </c>
      <c r="S122" s="295">
        <f t="shared" si="43"/>
        <v>0</v>
      </c>
      <c r="T122" s="233">
        <f>SUM(H122:S122)</f>
        <v>0</v>
      </c>
    </row>
    <row r="123" spans="1:20">
      <c r="A123" s="1"/>
      <c r="B123" s="356"/>
      <c r="C123" s="334" t="s">
        <v>409</v>
      </c>
      <c r="D123" s="356"/>
      <c r="E123" s="306"/>
      <c r="F123" s="298"/>
      <c r="G123" s="294"/>
      <c r="H123" s="365">
        <f>+H116*($E$112-'4.Cost of Goods-Svcs Sold'!$K$25)</f>
        <v>0</v>
      </c>
      <c r="I123" s="365">
        <f>+I116*($E$112-'4.Cost of Goods-Svcs Sold'!$K$25)</f>
        <v>0</v>
      </c>
      <c r="J123" s="365">
        <f>+J116*($E$112-'4.Cost of Goods-Svcs Sold'!$K$25)</f>
        <v>0</v>
      </c>
      <c r="K123" s="365">
        <f>+K116*($E$112-'4.Cost of Goods-Svcs Sold'!$K$25)</f>
        <v>0</v>
      </c>
      <c r="L123" s="365">
        <f>+L116*($E$112-'4.Cost of Goods-Svcs Sold'!$K$25)</f>
        <v>0</v>
      </c>
      <c r="M123" s="365">
        <f>+M116*($E$112-'4.Cost of Goods-Svcs Sold'!$K$25)</f>
        <v>0</v>
      </c>
      <c r="N123" s="365">
        <f>+N116*($E$112-'4.Cost of Goods-Svcs Sold'!$K$25)</f>
        <v>0</v>
      </c>
      <c r="O123" s="365">
        <f>+O116*($E$112-'4.Cost of Goods-Svcs Sold'!$K$25)</f>
        <v>0</v>
      </c>
      <c r="P123" s="365">
        <f>+P116*($E$112-'4.Cost of Goods-Svcs Sold'!$K$25)</f>
        <v>0</v>
      </c>
      <c r="Q123" s="365">
        <f>+Q116*($E$112-'4.Cost of Goods-Svcs Sold'!$K$25)</f>
        <v>0</v>
      </c>
      <c r="R123" s="365">
        <f>+R116*($E$112-'4.Cost of Goods-Svcs Sold'!$K$25)</f>
        <v>0</v>
      </c>
      <c r="S123" s="365">
        <f>+S116*($E$112-'4.Cost of Goods-Svcs Sold'!$K$25)</f>
        <v>0</v>
      </c>
    </row>
    <row r="124" spans="1:20">
      <c r="A124" s="1"/>
      <c r="B124" s="1" t="s">
        <v>30</v>
      </c>
      <c r="C124" s="1"/>
      <c r="D124" s="296"/>
      <c r="E124" s="306"/>
      <c r="F124" s="298"/>
      <c r="G124" s="298"/>
      <c r="H124" s="295">
        <f>+H117*$E111</f>
        <v>0</v>
      </c>
      <c r="I124" s="295">
        <f t="shared" ref="I124:S124" si="44">+I117*$E111</f>
        <v>0</v>
      </c>
      <c r="J124" s="295">
        <f t="shared" si="44"/>
        <v>0</v>
      </c>
      <c r="K124" s="295">
        <f t="shared" si="44"/>
        <v>0</v>
      </c>
      <c r="L124" s="295">
        <f t="shared" si="44"/>
        <v>0</v>
      </c>
      <c r="M124" s="295">
        <f t="shared" si="44"/>
        <v>0</v>
      </c>
      <c r="N124" s="295">
        <f t="shared" si="44"/>
        <v>0</v>
      </c>
      <c r="O124" s="295">
        <f t="shared" si="44"/>
        <v>0</v>
      </c>
      <c r="P124" s="295">
        <f t="shared" si="44"/>
        <v>0</v>
      </c>
      <c r="Q124" s="295">
        <f t="shared" si="44"/>
        <v>0</v>
      </c>
      <c r="R124" s="295">
        <f t="shared" si="44"/>
        <v>0</v>
      </c>
      <c r="S124" s="295">
        <f t="shared" si="44"/>
        <v>0</v>
      </c>
      <c r="T124" s="233">
        <f>SUM(H124:S124)</f>
        <v>0</v>
      </c>
    </row>
    <row r="125" spans="1:20">
      <c r="A125" s="1"/>
      <c r="B125" s="1" t="s">
        <v>390</v>
      </c>
      <c r="C125" s="1"/>
      <c r="D125" s="296"/>
      <c r="E125" s="306"/>
      <c r="F125" s="298"/>
      <c r="G125" s="298"/>
      <c r="H125" s="295">
        <f>+H117*$E112</f>
        <v>0</v>
      </c>
      <c r="I125" s="295">
        <f t="shared" ref="I125:S125" si="45">+I117*$E112</f>
        <v>0</v>
      </c>
      <c r="J125" s="295">
        <f t="shared" si="45"/>
        <v>0</v>
      </c>
      <c r="K125" s="295">
        <f t="shared" si="45"/>
        <v>0</v>
      </c>
      <c r="L125" s="295">
        <f t="shared" si="45"/>
        <v>0</v>
      </c>
      <c r="M125" s="295">
        <f t="shared" si="45"/>
        <v>0</v>
      </c>
      <c r="N125" s="295">
        <f t="shared" si="45"/>
        <v>0</v>
      </c>
      <c r="O125" s="295">
        <f t="shared" si="45"/>
        <v>0</v>
      </c>
      <c r="P125" s="295">
        <f t="shared" si="45"/>
        <v>0</v>
      </c>
      <c r="Q125" s="295">
        <f t="shared" si="45"/>
        <v>0</v>
      </c>
      <c r="R125" s="295">
        <f t="shared" si="45"/>
        <v>0</v>
      </c>
      <c r="S125" s="295">
        <f t="shared" si="45"/>
        <v>0</v>
      </c>
      <c r="T125" s="233">
        <f>SUM(H125:S125)</f>
        <v>0</v>
      </c>
    </row>
    <row r="126" spans="1:20">
      <c r="A126" s="1"/>
      <c r="B126" s="334"/>
      <c r="C126" s="334" t="s">
        <v>409</v>
      </c>
      <c r="D126" s="356"/>
      <c r="E126" s="294"/>
      <c r="F126" s="294"/>
      <c r="G126" s="294"/>
      <c r="H126" s="365">
        <f>+H117*($E$112-'4.Cost of Goods-Svcs Sold'!$K$25)</f>
        <v>0</v>
      </c>
      <c r="I126" s="365">
        <f>+I117*($E$112-'4.Cost of Goods-Svcs Sold'!$K$25)</f>
        <v>0</v>
      </c>
      <c r="J126" s="365">
        <f>+J117*($E$112-'4.Cost of Goods-Svcs Sold'!$K$25)</f>
        <v>0</v>
      </c>
      <c r="K126" s="365">
        <f>+K117*($E$112-'4.Cost of Goods-Svcs Sold'!$K$25)</f>
        <v>0</v>
      </c>
      <c r="L126" s="365">
        <f>+L117*($E$112-'4.Cost of Goods-Svcs Sold'!$K$25)</f>
        <v>0</v>
      </c>
      <c r="M126" s="365">
        <f>+M117*($E$112-'4.Cost of Goods-Svcs Sold'!$K$25)</f>
        <v>0</v>
      </c>
      <c r="N126" s="365">
        <f>+N117*($E$112-'4.Cost of Goods-Svcs Sold'!$K$25)</f>
        <v>0</v>
      </c>
      <c r="O126" s="365">
        <f>+O117*($E$112-'4.Cost of Goods-Svcs Sold'!$K$25)</f>
        <v>0</v>
      </c>
      <c r="P126" s="365">
        <f>+P117*($E$112-'4.Cost of Goods-Svcs Sold'!$K$25)</f>
        <v>0</v>
      </c>
      <c r="Q126" s="365">
        <f>+Q117*($E$112-'4.Cost of Goods-Svcs Sold'!$K$25)</f>
        <v>0</v>
      </c>
      <c r="R126" s="365">
        <f>+R117*($E$112-'4.Cost of Goods-Svcs Sold'!$K$25)</f>
        <v>0</v>
      </c>
      <c r="S126" s="365">
        <f>+S117*($E$112-'4.Cost of Goods-Svcs Sold'!$K$25)</f>
        <v>0</v>
      </c>
    </row>
    <row r="127" spans="1:20">
      <c r="A127" s="1"/>
      <c r="B127" s="1" t="s">
        <v>32</v>
      </c>
      <c r="C127" s="1"/>
      <c r="D127" s="296"/>
      <c r="E127" s="307"/>
      <c r="F127" s="294"/>
      <c r="G127" s="294"/>
      <c r="H127" s="295">
        <f>+H118*$E111</f>
        <v>0</v>
      </c>
      <c r="I127" s="295">
        <f t="shared" ref="I127:S127" si="46">+I118*$E111</f>
        <v>0</v>
      </c>
      <c r="J127" s="295">
        <f t="shared" si="46"/>
        <v>0</v>
      </c>
      <c r="K127" s="295">
        <f t="shared" si="46"/>
        <v>0</v>
      </c>
      <c r="L127" s="295">
        <f t="shared" si="46"/>
        <v>0</v>
      </c>
      <c r="M127" s="295">
        <f t="shared" si="46"/>
        <v>0</v>
      </c>
      <c r="N127" s="295">
        <f t="shared" si="46"/>
        <v>0</v>
      </c>
      <c r="O127" s="295">
        <f t="shared" si="46"/>
        <v>0</v>
      </c>
      <c r="P127" s="295">
        <f t="shared" si="46"/>
        <v>0</v>
      </c>
      <c r="Q127" s="295">
        <f t="shared" si="46"/>
        <v>0</v>
      </c>
      <c r="R127" s="295">
        <f t="shared" si="46"/>
        <v>0</v>
      </c>
      <c r="S127" s="295">
        <f t="shared" si="46"/>
        <v>0</v>
      </c>
      <c r="T127" s="233">
        <f>SUM(H127:S127)</f>
        <v>0</v>
      </c>
    </row>
    <row r="128" spans="1:20">
      <c r="A128" s="1"/>
      <c r="B128" s="1" t="s">
        <v>391</v>
      </c>
      <c r="C128" s="1"/>
      <c r="D128" s="296"/>
      <c r="E128" s="308"/>
      <c r="F128" s="298"/>
      <c r="G128" s="298"/>
      <c r="H128" s="295">
        <f>+H118*$E112</f>
        <v>0</v>
      </c>
      <c r="I128" s="295">
        <f t="shared" ref="I128:S128" si="47">+I118*$E112</f>
        <v>0</v>
      </c>
      <c r="J128" s="295">
        <f t="shared" si="47"/>
        <v>0</v>
      </c>
      <c r="K128" s="295">
        <f t="shared" si="47"/>
        <v>0</v>
      </c>
      <c r="L128" s="295">
        <f t="shared" si="47"/>
        <v>0</v>
      </c>
      <c r="M128" s="295">
        <f t="shared" si="47"/>
        <v>0</v>
      </c>
      <c r="N128" s="295">
        <f t="shared" si="47"/>
        <v>0</v>
      </c>
      <c r="O128" s="295">
        <f t="shared" si="47"/>
        <v>0</v>
      </c>
      <c r="P128" s="295">
        <f t="shared" si="47"/>
        <v>0</v>
      </c>
      <c r="Q128" s="295">
        <f t="shared" si="47"/>
        <v>0</v>
      </c>
      <c r="R128" s="295">
        <f t="shared" si="47"/>
        <v>0</v>
      </c>
      <c r="S128" s="295">
        <f t="shared" si="47"/>
        <v>0</v>
      </c>
      <c r="T128" s="233">
        <f>SUM(H128:S128)</f>
        <v>0</v>
      </c>
    </row>
    <row r="129" spans="1:20">
      <c r="B129" s="356"/>
      <c r="C129" s="334" t="s">
        <v>409</v>
      </c>
      <c r="D129" s="356"/>
      <c r="H129" s="365">
        <f>+H118*($E$112-'4.Cost of Goods-Svcs Sold'!$K$25)</f>
        <v>0</v>
      </c>
      <c r="I129" s="365">
        <f>+I118*($E$112-'4.Cost of Goods-Svcs Sold'!$K$25)</f>
        <v>0</v>
      </c>
      <c r="J129" s="365">
        <f>+J118*($E$112-'4.Cost of Goods-Svcs Sold'!$K$25)</f>
        <v>0</v>
      </c>
      <c r="K129" s="365">
        <f>+K118*($E$112-'4.Cost of Goods-Svcs Sold'!$K$25)</f>
        <v>0</v>
      </c>
      <c r="L129" s="365">
        <f>+L118*($E$112-'4.Cost of Goods-Svcs Sold'!$K$25)</f>
        <v>0</v>
      </c>
      <c r="M129" s="365">
        <f>+M118*($E$112-'4.Cost of Goods-Svcs Sold'!$K$25)</f>
        <v>0</v>
      </c>
      <c r="N129" s="365">
        <f>+N118*($E$112-'4.Cost of Goods-Svcs Sold'!$K$25)</f>
        <v>0</v>
      </c>
      <c r="O129" s="365">
        <f>+O118*($E$112-'4.Cost of Goods-Svcs Sold'!$K$25)</f>
        <v>0</v>
      </c>
      <c r="P129" s="365">
        <f>+P118*($E$112-'4.Cost of Goods-Svcs Sold'!$K$25)</f>
        <v>0</v>
      </c>
      <c r="Q129" s="365">
        <f>+Q118*($E$112-'4.Cost of Goods-Svcs Sold'!$K$25)</f>
        <v>0</v>
      </c>
      <c r="R129" s="365">
        <f>+R118*($E$112-'4.Cost of Goods-Svcs Sold'!$K$25)</f>
        <v>0</v>
      </c>
      <c r="S129" s="365">
        <f>+S118*($E$112-'4.Cost of Goods-Svcs Sold'!$K$25)</f>
        <v>0</v>
      </c>
    </row>
    <row r="131" spans="1:20">
      <c r="A131" s="225" t="str">
        <f>+'4.Cost of Goods-Svcs Sold'!A34</f>
        <v>Product/Service 13</v>
      </c>
      <c r="B131" s="225"/>
      <c r="C131" s="225"/>
      <c r="D131" s="225"/>
      <c r="E131" s="294"/>
      <c r="F131" s="294"/>
      <c r="G131" s="294"/>
      <c r="H131" s="295"/>
      <c r="I131" s="295"/>
      <c r="J131" s="295"/>
      <c r="K131" s="295"/>
      <c r="L131" s="295"/>
      <c r="M131" s="295"/>
      <c r="N131" s="295"/>
      <c r="O131" s="295"/>
      <c r="P131" s="295"/>
      <c r="Q131" s="295"/>
      <c r="R131" s="295"/>
      <c r="S131" s="295"/>
    </row>
    <row r="132" spans="1:20">
      <c r="A132" s="1"/>
      <c r="B132" s="1" t="s">
        <v>276</v>
      </c>
      <c r="C132" s="1"/>
      <c r="D132" s="296"/>
      <c r="E132" s="297"/>
      <c r="F132" s="298">
        <v>1</v>
      </c>
      <c r="G132" s="298"/>
      <c r="H132" s="295"/>
      <c r="I132" s="295"/>
      <c r="J132" s="295"/>
      <c r="K132" s="295"/>
      <c r="L132" s="295"/>
      <c r="M132" s="295"/>
      <c r="N132" s="295"/>
      <c r="O132" s="295"/>
      <c r="P132" s="295"/>
      <c r="Q132" s="295"/>
      <c r="R132" s="295"/>
      <c r="S132" s="295"/>
    </row>
    <row r="133" spans="1:20">
      <c r="A133" s="1"/>
      <c r="B133" s="1" t="s">
        <v>403</v>
      </c>
      <c r="C133" s="1"/>
      <c r="D133" s="296"/>
      <c r="E133" s="397">
        <f>+'4.Cost of Goods-Svcs Sold'!B41</f>
        <v>0</v>
      </c>
      <c r="F133" s="299">
        <f>IF(E132&gt;0,E133/E132,0)</f>
        <v>0</v>
      </c>
      <c r="G133" s="298"/>
      <c r="H133" s="295"/>
      <c r="I133" s="295"/>
      <c r="J133" s="295"/>
      <c r="K133" s="295"/>
      <c r="L133" s="295"/>
      <c r="M133" s="295"/>
      <c r="N133" s="295"/>
      <c r="O133" s="295"/>
      <c r="P133" s="295"/>
      <c r="Q133" s="295"/>
      <c r="R133" s="295"/>
      <c r="S133" s="295"/>
    </row>
    <row r="134" spans="1:20">
      <c r="A134" s="1"/>
      <c r="B134" s="1" t="s">
        <v>289</v>
      </c>
      <c r="C134" s="1"/>
      <c r="D134" s="296"/>
      <c r="E134" s="300">
        <f>E132-E133</f>
        <v>0</v>
      </c>
      <c r="F134" s="298">
        <f>IF(E132&gt;0,E134/E132,0)</f>
        <v>0</v>
      </c>
      <c r="G134" s="298"/>
      <c r="H134" s="295"/>
      <c r="I134" s="295"/>
      <c r="J134" s="295"/>
      <c r="K134" s="295"/>
      <c r="L134" s="295"/>
      <c r="M134" s="295"/>
      <c r="N134" s="295"/>
      <c r="O134" s="295"/>
      <c r="P134" s="295"/>
      <c r="Q134" s="295"/>
      <c r="R134" s="295"/>
      <c r="S134" s="295"/>
    </row>
    <row r="135" spans="1:20">
      <c r="A135" s="1"/>
      <c r="B135" s="1" t="s">
        <v>282</v>
      </c>
      <c r="C135" s="1"/>
      <c r="D135" s="296"/>
      <c r="E135" s="294"/>
      <c r="F135" s="294"/>
      <c r="G135" s="294"/>
      <c r="H135" s="295"/>
      <c r="I135" s="295"/>
      <c r="J135" s="295"/>
      <c r="K135" s="295"/>
      <c r="L135" s="295"/>
      <c r="M135" s="295"/>
      <c r="N135" s="295"/>
      <c r="O135" s="295"/>
      <c r="P135" s="295"/>
      <c r="Q135" s="295"/>
      <c r="R135" s="295"/>
      <c r="S135" s="295"/>
    </row>
    <row r="136" spans="1:20" ht="12.75" thickBot="1">
      <c r="A136" s="1"/>
      <c r="B136" s="1"/>
      <c r="C136" s="1" t="s">
        <v>287</v>
      </c>
      <c r="D136" s="296"/>
      <c r="E136" s="294"/>
      <c r="F136" s="294"/>
      <c r="G136" s="294"/>
      <c r="H136" s="309">
        <f t="shared" ref="H136:S136" si="48">IF(H137=0,0,H137/$T137)</f>
        <v>0</v>
      </c>
      <c r="I136" s="309">
        <f t="shared" si="48"/>
        <v>0</v>
      </c>
      <c r="J136" s="309">
        <f t="shared" si="48"/>
        <v>0</v>
      </c>
      <c r="K136" s="309">
        <f t="shared" si="48"/>
        <v>0</v>
      </c>
      <c r="L136" s="309">
        <f t="shared" si="48"/>
        <v>0</v>
      </c>
      <c r="M136" s="309">
        <f t="shared" si="48"/>
        <v>0</v>
      </c>
      <c r="N136" s="309">
        <f t="shared" si="48"/>
        <v>0</v>
      </c>
      <c r="O136" s="309">
        <f t="shared" si="48"/>
        <v>0</v>
      </c>
      <c r="P136" s="309">
        <f t="shared" si="48"/>
        <v>0</v>
      </c>
      <c r="Q136" s="309">
        <f t="shared" si="48"/>
        <v>0</v>
      </c>
      <c r="R136" s="309">
        <f t="shared" si="48"/>
        <v>0</v>
      </c>
      <c r="S136" s="309">
        <f t="shared" si="48"/>
        <v>0</v>
      </c>
      <c r="T136" s="310">
        <f>SUM(H136:S136)</f>
        <v>0</v>
      </c>
    </row>
    <row r="137" spans="1:20">
      <c r="A137" s="1"/>
      <c r="B137" s="1"/>
      <c r="C137" s="1" t="str">
        <f>+$C$11</f>
        <v>Monthly Unit Sales Year 1</v>
      </c>
      <c r="D137" s="296"/>
      <c r="E137" s="294"/>
      <c r="F137" s="294"/>
      <c r="G137" s="294"/>
      <c r="H137" s="301"/>
      <c r="I137" s="301"/>
      <c r="J137" s="301"/>
      <c r="K137" s="301"/>
      <c r="L137" s="301"/>
      <c r="M137" s="301"/>
      <c r="N137" s="301"/>
      <c r="O137" s="301"/>
      <c r="P137" s="301"/>
      <c r="Q137" s="301"/>
      <c r="R137" s="301"/>
      <c r="S137" s="301"/>
      <c r="T137" s="233">
        <f>SUM(H137:S137)</f>
        <v>0</v>
      </c>
    </row>
    <row r="138" spans="1:20">
      <c r="A138" s="1"/>
      <c r="B138" s="1"/>
      <c r="C138" s="1" t="s">
        <v>404</v>
      </c>
      <c r="D138" s="296"/>
      <c r="E138" s="302">
        <v>0</v>
      </c>
      <c r="F138" s="303"/>
      <c r="G138" s="298"/>
      <c r="H138" s="313">
        <f>IF($E138=0,S137,ROUND((1+($E138/12))*S137,0))</f>
        <v>0</v>
      </c>
      <c r="I138" s="313">
        <f>IF($E138=0,H138,ROUND((1+($E138/12))*H138,0))</f>
        <v>0</v>
      </c>
      <c r="J138" s="313">
        <f t="shared" ref="J138:S139" si="49">IF($E138=0,I138,ROUND((1+($E138/12))*I138,0))</f>
        <v>0</v>
      </c>
      <c r="K138" s="313">
        <f t="shared" si="49"/>
        <v>0</v>
      </c>
      <c r="L138" s="313">
        <f t="shared" si="49"/>
        <v>0</v>
      </c>
      <c r="M138" s="313">
        <f t="shared" si="49"/>
        <v>0</v>
      </c>
      <c r="N138" s="313">
        <f t="shared" si="49"/>
        <v>0</v>
      </c>
      <c r="O138" s="313">
        <f t="shared" si="49"/>
        <v>0</v>
      </c>
      <c r="P138" s="313">
        <f t="shared" si="49"/>
        <v>0</v>
      </c>
      <c r="Q138" s="313">
        <f t="shared" si="49"/>
        <v>0</v>
      </c>
      <c r="R138" s="313">
        <f t="shared" si="49"/>
        <v>0</v>
      </c>
      <c r="S138" s="313">
        <f t="shared" si="49"/>
        <v>0</v>
      </c>
      <c r="T138" s="233">
        <f>SUM(H138:S138)</f>
        <v>0</v>
      </c>
    </row>
    <row r="139" spans="1:20">
      <c r="A139" s="296"/>
      <c r="B139" s="1"/>
      <c r="C139" s="1" t="s">
        <v>405</v>
      </c>
      <c r="D139" s="296"/>
      <c r="E139" s="302">
        <v>0</v>
      </c>
      <c r="F139" s="294"/>
      <c r="G139" s="298"/>
      <c r="H139" s="313">
        <f>IF($E139=0,S138,ROUND((1+($E139/12))*S138,0))</f>
        <v>0</v>
      </c>
      <c r="I139" s="313">
        <f>IF($E139=0,H139,ROUND((1+($E139/12))*H139,0))</f>
        <v>0</v>
      </c>
      <c r="J139" s="313">
        <f t="shared" si="49"/>
        <v>0</v>
      </c>
      <c r="K139" s="313">
        <f t="shared" si="49"/>
        <v>0</v>
      </c>
      <c r="L139" s="313">
        <f t="shared" si="49"/>
        <v>0</v>
      </c>
      <c r="M139" s="313">
        <f t="shared" si="49"/>
        <v>0</v>
      </c>
      <c r="N139" s="313">
        <f t="shared" si="49"/>
        <v>0</v>
      </c>
      <c r="O139" s="313">
        <f t="shared" si="49"/>
        <v>0</v>
      </c>
      <c r="P139" s="313">
        <f t="shared" si="49"/>
        <v>0</v>
      </c>
      <c r="Q139" s="313">
        <f t="shared" si="49"/>
        <v>0</v>
      </c>
      <c r="R139" s="313">
        <f t="shared" si="49"/>
        <v>0</v>
      </c>
      <c r="S139" s="313">
        <f t="shared" si="49"/>
        <v>0</v>
      </c>
      <c r="T139" s="233">
        <f>SUM(H139:S139)</f>
        <v>0</v>
      </c>
    </row>
    <row r="140" spans="1:20">
      <c r="A140" s="296"/>
      <c r="B140" s="344" t="s">
        <v>115</v>
      </c>
      <c r="C140" s="1"/>
      <c r="D140" s="296"/>
      <c r="E140" s="302"/>
      <c r="F140" s="294"/>
      <c r="G140" s="298"/>
      <c r="H140" s="304"/>
      <c r="I140" s="304"/>
      <c r="J140" s="304"/>
      <c r="K140" s="304"/>
      <c r="L140" s="304"/>
      <c r="M140" s="304"/>
      <c r="N140" s="304"/>
      <c r="O140" s="304"/>
      <c r="P140" s="304"/>
      <c r="Q140" s="304"/>
      <c r="R140" s="304"/>
      <c r="S140" s="304"/>
    </row>
    <row r="141" spans="1:20">
      <c r="A141" s="296"/>
      <c r="B141" s="1"/>
      <c r="C141" s="1"/>
      <c r="D141" s="296"/>
      <c r="E141" s="294"/>
      <c r="F141" s="294"/>
      <c r="G141" s="294"/>
      <c r="H141" s="295"/>
      <c r="I141" s="295"/>
      <c r="J141" s="295"/>
      <c r="K141" s="295"/>
      <c r="L141" s="295"/>
      <c r="M141" s="295"/>
      <c r="N141" s="295"/>
      <c r="O141" s="295"/>
      <c r="P141" s="295"/>
      <c r="Q141" s="295"/>
      <c r="R141" s="295"/>
      <c r="S141" s="295"/>
    </row>
    <row r="142" spans="1:20">
      <c r="A142" s="296"/>
      <c r="B142" s="1" t="s">
        <v>28</v>
      </c>
      <c r="C142" s="1"/>
      <c r="D142" s="296"/>
      <c r="E142" s="305">
        <f>T137*E132</f>
        <v>0</v>
      </c>
      <c r="F142" s="298"/>
      <c r="G142" s="294"/>
      <c r="H142" s="295">
        <f>+H137*$E132</f>
        <v>0</v>
      </c>
      <c r="I142" s="295">
        <f t="shared" ref="I142:S142" si="50">+I137*$E132</f>
        <v>0</v>
      </c>
      <c r="J142" s="295">
        <f t="shared" si="50"/>
        <v>0</v>
      </c>
      <c r="K142" s="295">
        <f t="shared" si="50"/>
        <v>0</v>
      </c>
      <c r="L142" s="295">
        <f t="shared" si="50"/>
        <v>0</v>
      </c>
      <c r="M142" s="295">
        <f t="shared" si="50"/>
        <v>0</v>
      </c>
      <c r="N142" s="295">
        <f t="shared" si="50"/>
        <v>0</v>
      </c>
      <c r="O142" s="295">
        <f t="shared" si="50"/>
        <v>0</v>
      </c>
      <c r="P142" s="295">
        <f t="shared" si="50"/>
        <v>0</v>
      </c>
      <c r="Q142" s="295">
        <f t="shared" si="50"/>
        <v>0</v>
      </c>
      <c r="R142" s="295">
        <f t="shared" si="50"/>
        <v>0</v>
      </c>
      <c r="S142" s="295">
        <f t="shared" si="50"/>
        <v>0</v>
      </c>
      <c r="T142" s="233">
        <f>SUM(H142:S142)</f>
        <v>0</v>
      </c>
    </row>
    <row r="143" spans="1:20">
      <c r="A143" s="296"/>
      <c r="B143" s="1" t="s">
        <v>389</v>
      </c>
      <c r="C143" s="1"/>
      <c r="D143" s="296"/>
      <c r="E143" s="306">
        <f>E133*T137</f>
        <v>0</v>
      </c>
      <c r="F143" s="298"/>
      <c r="G143" s="294"/>
      <c r="H143" s="295">
        <f>+H137*$E133</f>
        <v>0</v>
      </c>
      <c r="I143" s="295">
        <f t="shared" ref="I143:S143" si="51">+I137*$E133</f>
        <v>0</v>
      </c>
      <c r="J143" s="295">
        <f t="shared" si="51"/>
        <v>0</v>
      </c>
      <c r="K143" s="295">
        <f t="shared" si="51"/>
        <v>0</v>
      </c>
      <c r="L143" s="295">
        <f t="shared" si="51"/>
        <v>0</v>
      </c>
      <c r="M143" s="295">
        <f t="shared" si="51"/>
        <v>0</v>
      </c>
      <c r="N143" s="295">
        <f t="shared" si="51"/>
        <v>0</v>
      </c>
      <c r="O143" s="295">
        <f t="shared" si="51"/>
        <v>0</v>
      </c>
      <c r="P143" s="295">
        <f t="shared" si="51"/>
        <v>0</v>
      </c>
      <c r="Q143" s="295">
        <f t="shared" si="51"/>
        <v>0</v>
      </c>
      <c r="R143" s="295">
        <f t="shared" si="51"/>
        <v>0</v>
      </c>
      <c r="S143" s="295">
        <f t="shared" si="51"/>
        <v>0</v>
      </c>
      <c r="T143" s="233">
        <f>SUM(H143:S143)</f>
        <v>0</v>
      </c>
    </row>
    <row r="144" spans="1:20">
      <c r="A144" s="1"/>
      <c r="B144" s="356"/>
      <c r="C144" s="334" t="s">
        <v>409</v>
      </c>
      <c r="D144" s="356"/>
      <c r="E144" s="306"/>
      <c r="F144" s="298"/>
      <c r="G144" s="294"/>
      <c r="H144" s="365">
        <f>+H137*($E$133-'4.Cost of Goods-Svcs Sold'!$B$35)</f>
        <v>0</v>
      </c>
      <c r="I144" s="365">
        <f>+I137*($E$133-'4.Cost of Goods-Svcs Sold'!$B$35)</f>
        <v>0</v>
      </c>
      <c r="J144" s="365">
        <f>+J137*($E$133-'4.Cost of Goods-Svcs Sold'!$B$35)</f>
        <v>0</v>
      </c>
      <c r="K144" s="365">
        <f>+K137*($E$133-'4.Cost of Goods-Svcs Sold'!$B$35)</f>
        <v>0</v>
      </c>
      <c r="L144" s="365">
        <f>+L137*($E$133-'4.Cost of Goods-Svcs Sold'!$B$35)</f>
        <v>0</v>
      </c>
      <c r="M144" s="365">
        <f>+M137*($E$133-'4.Cost of Goods-Svcs Sold'!$B$35)</f>
        <v>0</v>
      </c>
      <c r="N144" s="365">
        <f>+N137*($E$133-'4.Cost of Goods-Svcs Sold'!$B$35)</f>
        <v>0</v>
      </c>
      <c r="O144" s="365">
        <f>+O137*($E$133-'4.Cost of Goods-Svcs Sold'!$B$35)</f>
        <v>0</v>
      </c>
      <c r="P144" s="365">
        <f>+P137*($E$133-'4.Cost of Goods-Svcs Sold'!$B$35)</f>
        <v>0</v>
      </c>
      <c r="Q144" s="365">
        <f>+Q137*($E$133-'4.Cost of Goods-Svcs Sold'!$B$35)</f>
        <v>0</v>
      </c>
      <c r="R144" s="365">
        <f>+R137*($E$133-'4.Cost of Goods-Svcs Sold'!$B$35)</f>
        <v>0</v>
      </c>
      <c r="S144" s="365">
        <f>+S137*($E$133-'4.Cost of Goods-Svcs Sold'!$B$35)</f>
        <v>0</v>
      </c>
    </row>
    <row r="145" spans="1:20">
      <c r="A145" s="1"/>
      <c r="B145" s="1" t="s">
        <v>30</v>
      </c>
      <c r="C145" s="1"/>
      <c r="D145" s="296"/>
      <c r="E145" s="306"/>
      <c r="F145" s="298"/>
      <c r="G145" s="298"/>
      <c r="H145" s="295">
        <f>+H138*$E132</f>
        <v>0</v>
      </c>
      <c r="I145" s="295">
        <f t="shared" ref="I145:S145" si="52">+I138*$E132</f>
        <v>0</v>
      </c>
      <c r="J145" s="295">
        <f t="shared" si="52"/>
        <v>0</v>
      </c>
      <c r="K145" s="295">
        <f t="shared" si="52"/>
        <v>0</v>
      </c>
      <c r="L145" s="295">
        <f t="shared" si="52"/>
        <v>0</v>
      </c>
      <c r="M145" s="295">
        <f t="shared" si="52"/>
        <v>0</v>
      </c>
      <c r="N145" s="295">
        <f t="shared" si="52"/>
        <v>0</v>
      </c>
      <c r="O145" s="295">
        <f t="shared" si="52"/>
        <v>0</v>
      </c>
      <c r="P145" s="295">
        <f t="shared" si="52"/>
        <v>0</v>
      </c>
      <c r="Q145" s="295">
        <f t="shared" si="52"/>
        <v>0</v>
      </c>
      <c r="R145" s="295">
        <f t="shared" si="52"/>
        <v>0</v>
      </c>
      <c r="S145" s="295">
        <f t="shared" si="52"/>
        <v>0</v>
      </c>
      <c r="T145" s="233">
        <f>SUM(H145:S145)</f>
        <v>0</v>
      </c>
    </row>
    <row r="146" spans="1:20">
      <c r="A146" s="1"/>
      <c r="B146" s="1" t="s">
        <v>390</v>
      </c>
      <c r="C146" s="1"/>
      <c r="D146" s="296"/>
      <c r="E146" s="306"/>
      <c r="F146" s="298"/>
      <c r="G146" s="298"/>
      <c r="H146" s="295">
        <f>+H138*$E133</f>
        <v>0</v>
      </c>
      <c r="I146" s="295">
        <f t="shared" ref="I146:S146" si="53">+I138*$E133</f>
        <v>0</v>
      </c>
      <c r="J146" s="295">
        <f t="shared" si="53"/>
        <v>0</v>
      </c>
      <c r="K146" s="295">
        <f t="shared" si="53"/>
        <v>0</v>
      </c>
      <c r="L146" s="295">
        <f t="shared" si="53"/>
        <v>0</v>
      </c>
      <c r="M146" s="295">
        <f t="shared" si="53"/>
        <v>0</v>
      </c>
      <c r="N146" s="295">
        <f t="shared" si="53"/>
        <v>0</v>
      </c>
      <c r="O146" s="295">
        <f t="shared" si="53"/>
        <v>0</v>
      </c>
      <c r="P146" s="295">
        <f t="shared" si="53"/>
        <v>0</v>
      </c>
      <c r="Q146" s="295">
        <f t="shared" si="53"/>
        <v>0</v>
      </c>
      <c r="R146" s="295">
        <f t="shared" si="53"/>
        <v>0</v>
      </c>
      <c r="S146" s="295">
        <f t="shared" si="53"/>
        <v>0</v>
      </c>
      <c r="T146" s="233">
        <f>SUM(H146:S146)</f>
        <v>0</v>
      </c>
    </row>
    <row r="147" spans="1:20">
      <c r="A147" s="1"/>
      <c r="B147" s="334"/>
      <c r="C147" s="334" t="s">
        <v>409</v>
      </c>
      <c r="D147" s="356"/>
      <c r="E147" s="294"/>
      <c r="F147" s="294"/>
      <c r="G147" s="294"/>
      <c r="H147" s="365">
        <f>+H138*($E$133-'4.Cost of Goods-Svcs Sold'!$B$35)</f>
        <v>0</v>
      </c>
      <c r="I147" s="365">
        <f>+I138*($E$133-'4.Cost of Goods-Svcs Sold'!$B$35)</f>
        <v>0</v>
      </c>
      <c r="J147" s="365">
        <f>+J138*($E$133-'4.Cost of Goods-Svcs Sold'!$B$35)</f>
        <v>0</v>
      </c>
      <c r="K147" s="365">
        <f>+K138*($E$133-'4.Cost of Goods-Svcs Sold'!$B$35)</f>
        <v>0</v>
      </c>
      <c r="L147" s="365">
        <f>+L138*($E$133-'4.Cost of Goods-Svcs Sold'!$B$35)</f>
        <v>0</v>
      </c>
      <c r="M147" s="365">
        <f>+M138*($E$133-'4.Cost of Goods-Svcs Sold'!$B$35)</f>
        <v>0</v>
      </c>
      <c r="N147" s="365">
        <f>+N138*($E$133-'4.Cost of Goods-Svcs Sold'!$B$35)</f>
        <v>0</v>
      </c>
      <c r="O147" s="365">
        <f>+O138*($E$133-'4.Cost of Goods-Svcs Sold'!$B$35)</f>
        <v>0</v>
      </c>
      <c r="P147" s="365">
        <f>+P138*($E$133-'4.Cost of Goods-Svcs Sold'!$B$35)</f>
        <v>0</v>
      </c>
      <c r="Q147" s="365">
        <f>+Q138*($E$133-'4.Cost of Goods-Svcs Sold'!$B$35)</f>
        <v>0</v>
      </c>
      <c r="R147" s="365">
        <f>+R138*($E$133-'4.Cost of Goods-Svcs Sold'!$B$35)</f>
        <v>0</v>
      </c>
      <c r="S147" s="365">
        <f>+S138*($E$133-'4.Cost of Goods-Svcs Sold'!$B$35)</f>
        <v>0</v>
      </c>
    </row>
    <row r="148" spans="1:20">
      <c r="A148" s="1"/>
      <c r="B148" s="1" t="s">
        <v>32</v>
      </c>
      <c r="C148" s="1"/>
      <c r="D148" s="296"/>
      <c r="E148" s="307"/>
      <c r="F148" s="294"/>
      <c r="G148" s="294"/>
      <c r="H148" s="295">
        <f>+H139*$E132</f>
        <v>0</v>
      </c>
      <c r="I148" s="295">
        <f t="shared" ref="I148:S148" si="54">+I139*$E132</f>
        <v>0</v>
      </c>
      <c r="J148" s="295">
        <f t="shared" si="54"/>
        <v>0</v>
      </c>
      <c r="K148" s="295">
        <f t="shared" si="54"/>
        <v>0</v>
      </c>
      <c r="L148" s="295">
        <f t="shared" si="54"/>
        <v>0</v>
      </c>
      <c r="M148" s="295">
        <f t="shared" si="54"/>
        <v>0</v>
      </c>
      <c r="N148" s="295">
        <f t="shared" si="54"/>
        <v>0</v>
      </c>
      <c r="O148" s="295">
        <f t="shared" si="54"/>
        <v>0</v>
      </c>
      <c r="P148" s="295">
        <f t="shared" si="54"/>
        <v>0</v>
      </c>
      <c r="Q148" s="295">
        <f t="shared" si="54"/>
        <v>0</v>
      </c>
      <c r="R148" s="295">
        <f t="shared" si="54"/>
        <v>0</v>
      </c>
      <c r="S148" s="295">
        <f t="shared" si="54"/>
        <v>0</v>
      </c>
      <c r="T148" s="233">
        <f>SUM(H148:S148)</f>
        <v>0</v>
      </c>
    </row>
    <row r="149" spans="1:20">
      <c r="A149" s="1"/>
      <c r="B149" s="1" t="s">
        <v>391</v>
      </c>
      <c r="C149" s="1"/>
      <c r="D149" s="296"/>
      <c r="E149" s="308"/>
      <c r="F149" s="298"/>
      <c r="G149" s="298"/>
      <c r="H149" s="295">
        <f>+H139*$E133</f>
        <v>0</v>
      </c>
      <c r="I149" s="295">
        <f t="shared" ref="I149:S149" si="55">+I139*$E133</f>
        <v>0</v>
      </c>
      <c r="J149" s="295">
        <f t="shared" si="55"/>
        <v>0</v>
      </c>
      <c r="K149" s="295">
        <f t="shared" si="55"/>
        <v>0</v>
      </c>
      <c r="L149" s="295">
        <f t="shared" si="55"/>
        <v>0</v>
      </c>
      <c r="M149" s="295">
        <f t="shared" si="55"/>
        <v>0</v>
      </c>
      <c r="N149" s="295">
        <f t="shared" si="55"/>
        <v>0</v>
      </c>
      <c r="O149" s="295">
        <f t="shared" si="55"/>
        <v>0</v>
      </c>
      <c r="P149" s="295">
        <f t="shared" si="55"/>
        <v>0</v>
      </c>
      <c r="Q149" s="295">
        <f t="shared" si="55"/>
        <v>0</v>
      </c>
      <c r="R149" s="295">
        <f t="shared" si="55"/>
        <v>0</v>
      </c>
      <c r="S149" s="295">
        <f t="shared" si="55"/>
        <v>0</v>
      </c>
      <c r="T149" s="233">
        <f>SUM(H149:S149)</f>
        <v>0</v>
      </c>
    </row>
    <row r="150" spans="1:20">
      <c r="B150" s="356"/>
      <c r="C150" s="334" t="s">
        <v>409</v>
      </c>
      <c r="D150" s="356"/>
      <c r="H150" s="365">
        <f>+H139*($E$133-'4.Cost of Goods-Svcs Sold'!$B$35)</f>
        <v>0</v>
      </c>
      <c r="I150" s="365">
        <f>+I139*($E$133-'4.Cost of Goods-Svcs Sold'!$B$35)</f>
        <v>0</v>
      </c>
      <c r="J150" s="365">
        <f>+J139*($E$133-'4.Cost of Goods-Svcs Sold'!$B$35)</f>
        <v>0</v>
      </c>
      <c r="K150" s="365">
        <f>+K139*($E$133-'4.Cost of Goods-Svcs Sold'!$B$35)</f>
        <v>0</v>
      </c>
      <c r="L150" s="365">
        <f>+L139*($E$133-'4.Cost of Goods-Svcs Sold'!$B$35)</f>
        <v>0</v>
      </c>
      <c r="M150" s="365">
        <f>+M139*($E$133-'4.Cost of Goods-Svcs Sold'!$B$35)</f>
        <v>0</v>
      </c>
      <c r="N150" s="365">
        <f>+N139*($E$133-'4.Cost of Goods-Svcs Sold'!$B$35)</f>
        <v>0</v>
      </c>
      <c r="O150" s="365">
        <f>+O139*($E$133-'4.Cost of Goods-Svcs Sold'!$B$35)</f>
        <v>0</v>
      </c>
      <c r="P150" s="365">
        <f>+P139*($E$133-'4.Cost of Goods-Svcs Sold'!$B$35)</f>
        <v>0</v>
      </c>
      <c r="Q150" s="365">
        <f>+Q139*($E$133-'4.Cost of Goods-Svcs Sold'!$B$35)</f>
        <v>0</v>
      </c>
      <c r="R150" s="365">
        <f>+R139*($E$133-'4.Cost of Goods-Svcs Sold'!$B$35)</f>
        <v>0</v>
      </c>
      <c r="S150" s="365">
        <f>+S139*($E$133-'4.Cost of Goods-Svcs Sold'!$B$35)</f>
        <v>0</v>
      </c>
    </row>
    <row r="152" spans="1:20">
      <c r="A152" s="225" t="str">
        <f>+'4.Cost of Goods-Svcs Sold'!D34</f>
        <v>Product/Service 14</v>
      </c>
      <c r="B152" s="225"/>
      <c r="C152" s="225"/>
      <c r="D152" s="225"/>
      <c r="E152" s="294"/>
      <c r="F152" s="294"/>
      <c r="G152" s="294"/>
      <c r="H152" s="295"/>
      <c r="I152" s="295"/>
      <c r="J152" s="295"/>
      <c r="K152" s="295"/>
      <c r="L152" s="295"/>
      <c r="M152" s="295"/>
      <c r="N152" s="295"/>
      <c r="O152" s="295"/>
      <c r="P152" s="295"/>
      <c r="Q152" s="295"/>
      <c r="R152" s="295"/>
      <c r="S152" s="295"/>
    </row>
    <row r="153" spans="1:20">
      <c r="A153" s="1"/>
      <c r="B153" s="1" t="s">
        <v>276</v>
      </c>
      <c r="C153" s="1"/>
      <c r="D153" s="296"/>
      <c r="E153" s="297"/>
      <c r="F153" s="298">
        <v>1</v>
      </c>
      <c r="G153" s="298"/>
      <c r="H153" s="295"/>
      <c r="I153" s="295"/>
      <c r="J153" s="295"/>
      <c r="K153" s="295"/>
      <c r="L153" s="295"/>
      <c r="M153" s="295"/>
      <c r="N153" s="295"/>
      <c r="O153" s="295"/>
      <c r="P153" s="295"/>
      <c r="Q153" s="295"/>
      <c r="R153" s="295"/>
      <c r="S153" s="295"/>
    </row>
    <row r="154" spans="1:20">
      <c r="A154" s="1"/>
      <c r="B154" s="1" t="s">
        <v>403</v>
      </c>
      <c r="C154" s="1"/>
      <c r="D154" s="296"/>
      <c r="E154" s="397">
        <f>+'4.Cost of Goods-Svcs Sold'!E41</f>
        <v>0</v>
      </c>
      <c r="F154" s="299">
        <f>IF(E153&gt;0,E154/E153,0)</f>
        <v>0</v>
      </c>
      <c r="G154" s="298"/>
      <c r="H154" s="295"/>
      <c r="I154" s="295"/>
      <c r="J154" s="295"/>
      <c r="K154" s="295"/>
      <c r="L154" s="295"/>
      <c r="M154" s="295"/>
      <c r="N154" s="295"/>
      <c r="O154" s="295"/>
      <c r="P154" s="295"/>
      <c r="Q154" s="295"/>
      <c r="R154" s="295"/>
      <c r="S154" s="295"/>
    </row>
    <row r="155" spans="1:20">
      <c r="A155" s="1"/>
      <c r="B155" s="1" t="s">
        <v>289</v>
      </c>
      <c r="C155" s="1"/>
      <c r="D155" s="296"/>
      <c r="E155" s="300">
        <f>E153-E154</f>
        <v>0</v>
      </c>
      <c r="F155" s="298">
        <f>IF(E153&gt;0,E155/E153,0)</f>
        <v>0</v>
      </c>
      <c r="G155" s="298"/>
      <c r="H155" s="295"/>
      <c r="I155" s="295"/>
      <c r="J155" s="295"/>
      <c r="K155" s="295"/>
      <c r="L155" s="295"/>
      <c r="M155" s="295"/>
      <c r="N155" s="295"/>
      <c r="O155" s="295"/>
      <c r="P155" s="295"/>
      <c r="Q155" s="295"/>
      <c r="R155" s="295"/>
      <c r="S155" s="295"/>
    </row>
    <row r="156" spans="1:20">
      <c r="A156" s="1"/>
      <c r="B156" s="1" t="s">
        <v>282</v>
      </c>
      <c r="C156" s="1"/>
      <c r="D156" s="296"/>
      <c r="E156" s="294"/>
      <c r="F156" s="294"/>
      <c r="G156" s="294"/>
      <c r="H156" s="295"/>
      <c r="I156" s="295"/>
      <c r="J156" s="295"/>
      <c r="K156" s="295"/>
      <c r="L156" s="295"/>
      <c r="M156" s="295"/>
      <c r="N156" s="295"/>
      <c r="O156" s="295"/>
      <c r="P156" s="295"/>
      <c r="Q156" s="295"/>
      <c r="R156" s="295"/>
      <c r="S156" s="295"/>
    </row>
    <row r="157" spans="1:20" ht="12.75" thickBot="1">
      <c r="A157" s="1"/>
      <c r="B157" s="1"/>
      <c r="C157" s="1" t="s">
        <v>287</v>
      </c>
      <c r="D157" s="296"/>
      <c r="E157" s="294"/>
      <c r="F157" s="294"/>
      <c r="G157" s="294"/>
      <c r="H157" s="309">
        <f t="shared" ref="H157:S157" si="56">IF(H158=0,0,H158/$T158)</f>
        <v>0</v>
      </c>
      <c r="I157" s="309">
        <f t="shared" si="56"/>
        <v>0</v>
      </c>
      <c r="J157" s="309">
        <f t="shared" si="56"/>
        <v>0</v>
      </c>
      <c r="K157" s="309">
        <f t="shared" si="56"/>
        <v>0</v>
      </c>
      <c r="L157" s="309">
        <f t="shared" si="56"/>
        <v>0</v>
      </c>
      <c r="M157" s="309">
        <f t="shared" si="56"/>
        <v>0</v>
      </c>
      <c r="N157" s="309">
        <f t="shared" si="56"/>
        <v>0</v>
      </c>
      <c r="O157" s="309">
        <f t="shared" si="56"/>
        <v>0</v>
      </c>
      <c r="P157" s="309">
        <f t="shared" si="56"/>
        <v>0</v>
      </c>
      <c r="Q157" s="309">
        <f t="shared" si="56"/>
        <v>0</v>
      </c>
      <c r="R157" s="309">
        <f t="shared" si="56"/>
        <v>0</v>
      </c>
      <c r="S157" s="309">
        <f t="shared" si="56"/>
        <v>0</v>
      </c>
      <c r="T157" s="310">
        <f>SUM(H157:S157)</f>
        <v>0</v>
      </c>
    </row>
    <row r="158" spans="1:20">
      <c r="A158" s="1"/>
      <c r="B158" s="1"/>
      <c r="C158" s="1" t="str">
        <f>+$C$11</f>
        <v>Monthly Unit Sales Year 1</v>
      </c>
      <c r="D158" s="296"/>
      <c r="E158" s="294"/>
      <c r="F158" s="294"/>
      <c r="G158" s="294"/>
      <c r="H158" s="301"/>
      <c r="I158" s="301"/>
      <c r="J158" s="301"/>
      <c r="K158" s="301"/>
      <c r="L158" s="301"/>
      <c r="M158" s="301"/>
      <c r="N158" s="301"/>
      <c r="O158" s="301"/>
      <c r="P158" s="301"/>
      <c r="Q158" s="301"/>
      <c r="R158" s="301"/>
      <c r="S158" s="301"/>
      <c r="T158" s="233">
        <f>SUM(H158:S158)</f>
        <v>0</v>
      </c>
    </row>
    <row r="159" spans="1:20">
      <c r="A159" s="1"/>
      <c r="B159" s="1"/>
      <c r="C159" s="1" t="s">
        <v>404</v>
      </c>
      <c r="D159" s="296"/>
      <c r="E159" s="302">
        <v>0</v>
      </c>
      <c r="F159" s="303"/>
      <c r="G159" s="298"/>
      <c r="H159" s="313">
        <f>IF($E159=0,S158,ROUND((1+($E159/12))*S158,0))</f>
        <v>0</v>
      </c>
      <c r="I159" s="313">
        <f>IF($E159=0,H159,ROUND((1+($E159/12))*H159,0))</f>
        <v>0</v>
      </c>
      <c r="J159" s="313">
        <f t="shared" ref="J159:S160" si="57">IF($E159=0,I159,ROUND((1+($E159/12))*I159,0))</f>
        <v>0</v>
      </c>
      <c r="K159" s="313">
        <f t="shared" si="57"/>
        <v>0</v>
      </c>
      <c r="L159" s="313">
        <f t="shared" si="57"/>
        <v>0</v>
      </c>
      <c r="M159" s="313">
        <f t="shared" si="57"/>
        <v>0</v>
      </c>
      <c r="N159" s="313">
        <f t="shared" si="57"/>
        <v>0</v>
      </c>
      <c r="O159" s="313">
        <f t="shared" si="57"/>
        <v>0</v>
      </c>
      <c r="P159" s="313">
        <f t="shared" si="57"/>
        <v>0</v>
      </c>
      <c r="Q159" s="313">
        <f t="shared" si="57"/>
        <v>0</v>
      </c>
      <c r="R159" s="313">
        <f t="shared" si="57"/>
        <v>0</v>
      </c>
      <c r="S159" s="313">
        <f t="shared" si="57"/>
        <v>0</v>
      </c>
      <c r="T159" s="233">
        <f>SUM(H159:S159)</f>
        <v>0</v>
      </c>
    </row>
    <row r="160" spans="1:20">
      <c r="A160" s="296"/>
      <c r="B160" s="1"/>
      <c r="C160" s="1" t="s">
        <v>405</v>
      </c>
      <c r="D160" s="296"/>
      <c r="E160" s="302">
        <v>0</v>
      </c>
      <c r="F160" s="294"/>
      <c r="G160" s="298"/>
      <c r="H160" s="313">
        <f>IF($E160=0,S159,ROUND((1+($E160/12))*S159,0))</f>
        <v>0</v>
      </c>
      <c r="I160" s="313">
        <f>IF($E160=0,H160,ROUND((1+($E160/12))*H160,0))</f>
        <v>0</v>
      </c>
      <c r="J160" s="313">
        <f t="shared" si="57"/>
        <v>0</v>
      </c>
      <c r="K160" s="313">
        <f t="shared" si="57"/>
        <v>0</v>
      </c>
      <c r="L160" s="313">
        <f t="shared" si="57"/>
        <v>0</v>
      </c>
      <c r="M160" s="313">
        <f t="shared" si="57"/>
        <v>0</v>
      </c>
      <c r="N160" s="313">
        <f t="shared" si="57"/>
        <v>0</v>
      </c>
      <c r="O160" s="313">
        <f t="shared" si="57"/>
        <v>0</v>
      </c>
      <c r="P160" s="313">
        <f t="shared" si="57"/>
        <v>0</v>
      </c>
      <c r="Q160" s="313">
        <f t="shared" si="57"/>
        <v>0</v>
      </c>
      <c r="R160" s="313">
        <f t="shared" si="57"/>
        <v>0</v>
      </c>
      <c r="S160" s="313">
        <f t="shared" si="57"/>
        <v>0</v>
      </c>
      <c r="T160" s="233">
        <f>SUM(H160:S160)</f>
        <v>0</v>
      </c>
    </row>
    <row r="161" spans="1:20">
      <c r="A161" s="296"/>
      <c r="B161" s="344" t="s">
        <v>115</v>
      </c>
      <c r="C161" s="1"/>
      <c r="D161" s="296"/>
      <c r="E161" s="302"/>
      <c r="F161" s="294"/>
      <c r="G161" s="298"/>
      <c r="H161" s="304"/>
      <c r="I161" s="304"/>
      <c r="J161" s="304"/>
      <c r="K161" s="304"/>
      <c r="L161" s="304"/>
      <c r="M161" s="304"/>
      <c r="N161" s="304"/>
      <c r="O161" s="304"/>
      <c r="P161" s="304"/>
      <c r="Q161" s="304"/>
      <c r="R161" s="304"/>
      <c r="S161" s="304"/>
    </row>
    <row r="162" spans="1:20">
      <c r="A162" s="296"/>
      <c r="B162" s="1"/>
      <c r="C162" s="1"/>
      <c r="D162" s="296"/>
      <c r="E162" s="294"/>
      <c r="F162" s="294"/>
      <c r="G162" s="294"/>
      <c r="H162" s="295"/>
      <c r="I162" s="295"/>
      <c r="J162" s="295"/>
      <c r="K162" s="295"/>
      <c r="L162" s="295"/>
      <c r="M162" s="295"/>
      <c r="N162" s="295"/>
      <c r="O162" s="295"/>
      <c r="P162" s="295"/>
      <c r="Q162" s="295"/>
      <c r="R162" s="295"/>
      <c r="S162" s="295"/>
    </row>
    <row r="163" spans="1:20">
      <c r="A163" s="296"/>
      <c r="B163" s="1" t="s">
        <v>28</v>
      </c>
      <c r="C163" s="1"/>
      <c r="D163" s="296"/>
      <c r="E163" s="305">
        <f>T158*E153</f>
        <v>0</v>
      </c>
      <c r="F163" s="298"/>
      <c r="G163" s="294"/>
      <c r="H163" s="295">
        <f>+H158*$E153</f>
        <v>0</v>
      </c>
      <c r="I163" s="295">
        <f t="shared" ref="I163:S163" si="58">+I158*$E153</f>
        <v>0</v>
      </c>
      <c r="J163" s="295">
        <f t="shared" si="58"/>
        <v>0</v>
      </c>
      <c r="K163" s="295">
        <f t="shared" si="58"/>
        <v>0</v>
      </c>
      <c r="L163" s="295">
        <f t="shared" si="58"/>
        <v>0</v>
      </c>
      <c r="M163" s="295">
        <f t="shared" si="58"/>
        <v>0</v>
      </c>
      <c r="N163" s="295">
        <f t="shared" si="58"/>
        <v>0</v>
      </c>
      <c r="O163" s="295">
        <f t="shared" si="58"/>
        <v>0</v>
      </c>
      <c r="P163" s="295">
        <f t="shared" si="58"/>
        <v>0</v>
      </c>
      <c r="Q163" s="295">
        <f t="shared" si="58"/>
        <v>0</v>
      </c>
      <c r="R163" s="295">
        <f t="shared" si="58"/>
        <v>0</v>
      </c>
      <c r="S163" s="295">
        <f t="shared" si="58"/>
        <v>0</v>
      </c>
      <c r="T163" s="233">
        <f>SUM(H163:S163)</f>
        <v>0</v>
      </c>
    </row>
    <row r="164" spans="1:20">
      <c r="A164" s="296"/>
      <c r="B164" s="1" t="s">
        <v>389</v>
      </c>
      <c r="C164" s="1"/>
      <c r="D164" s="296"/>
      <c r="E164" s="306">
        <f>E154*T158</f>
        <v>0</v>
      </c>
      <c r="F164" s="298"/>
      <c r="G164" s="294"/>
      <c r="H164" s="295">
        <f>+H158*$E154</f>
        <v>0</v>
      </c>
      <c r="I164" s="295">
        <f t="shared" ref="I164:S164" si="59">+I158*$E154</f>
        <v>0</v>
      </c>
      <c r="J164" s="295">
        <f t="shared" si="59"/>
        <v>0</v>
      </c>
      <c r="K164" s="295">
        <f t="shared" si="59"/>
        <v>0</v>
      </c>
      <c r="L164" s="295">
        <f t="shared" si="59"/>
        <v>0</v>
      </c>
      <c r="M164" s="295">
        <f t="shared" si="59"/>
        <v>0</v>
      </c>
      <c r="N164" s="295">
        <f t="shared" si="59"/>
        <v>0</v>
      </c>
      <c r="O164" s="295">
        <f t="shared" si="59"/>
        <v>0</v>
      </c>
      <c r="P164" s="295">
        <f t="shared" si="59"/>
        <v>0</v>
      </c>
      <c r="Q164" s="295">
        <f t="shared" si="59"/>
        <v>0</v>
      </c>
      <c r="R164" s="295">
        <f t="shared" si="59"/>
        <v>0</v>
      </c>
      <c r="S164" s="295">
        <f t="shared" si="59"/>
        <v>0</v>
      </c>
      <c r="T164" s="233">
        <f>SUM(H164:S164)</f>
        <v>0</v>
      </c>
    </row>
    <row r="165" spans="1:20">
      <c r="A165" s="1"/>
      <c r="B165" s="356"/>
      <c r="C165" s="334" t="s">
        <v>409</v>
      </c>
      <c r="D165" s="356"/>
      <c r="E165" s="306"/>
      <c r="F165" s="298"/>
      <c r="G165" s="294"/>
      <c r="H165" s="365">
        <f>+H158*($E$154-'4.Cost of Goods-Svcs Sold'!$E$35)</f>
        <v>0</v>
      </c>
      <c r="I165" s="365">
        <f>+I158*($E$154-'4.Cost of Goods-Svcs Sold'!$E$35)</f>
        <v>0</v>
      </c>
      <c r="J165" s="365">
        <f>+J158*($E$154-'4.Cost of Goods-Svcs Sold'!$E$35)</f>
        <v>0</v>
      </c>
      <c r="K165" s="365">
        <f>+K158*($E$154-'4.Cost of Goods-Svcs Sold'!$E$35)</f>
        <v>0</v>
      </c>
      <c r="L165" s="365">
        <f>+L158*($E$154-'4.Cost of Goods-Svcs Sold'!$E$35)</f>
        <v>0</v>
      </c>
      <c r="M165" s="365">
        <f>+M158*($E$154-'4.Cost of Goods-Svcs Sold'!$E$35)</f>
        <v>0</v>
      </c>
      <c r="N165" s="365">
        <f>+N158*($E$154-'4.Cost of Goods-Svcs Sold'!$E$35)</f>
        <v>0</v>
      </c>
      <c r="O165" s="365">
        <f>+O158*($E$154-'4.Cost of Goods-Svcs Sold'!$E$35)</f>
        <v>0</v>
      </c>
      <c r="P165" s="365">
        <f>+P158*($E$154-'4.Cost of Goods-Svcs Sold'!$E$35)</f>
        <v>0</v>
      </c>
      <c r="Q165" s="365">
        <f>+Q158*($E$154-'4.Cost of Goods-Svcs Sold'!$E$35)</f>
        <v>0</v>
      </c>
      <c r="R165" s="365">
        <f>+R158*($E$154-'4.Cost of Goods-Svcs Sold'!$E$35)</f>
        <v>0</v>
      </c>
      <c r="S165" s="365">
        <f>+S158*($E$154-'4.Cost of Goods-Svcs Sold'!$E$35)</f>
        <v>0</v>
      </c>
    </row>
    <row r="166" spans="1:20">
      <c r="A166" s="1"/>
      <c r="B166" s="1" t="s">
        <v>30</v>
      </c>
      <c r="C166" s="1"/>
      <c r="D166" s="296"/>
      <c r="E166" s="306"/>
      <c r="F166" s="298"/>
      <c r="G166" s="298"/>
      <c r="H166" s="295">
        <f>+H159*$E153</f>
        <v>0</v>
      </c>
      <c r="I166" s="295">
        <f t="shared" ref="I166:S166" si="60">+I159*$E153</f>
        <v>0</v>
      </c>
      <c r="J166" s="295">
        <f t="shared" si="60"/>
        <v>0</v>
      </c>
      <c r="K166" s="295">
        <f t="shared" si="60"/>
        <v>0</v>
      </c>
      <c r="L166" s="295">
        <f t="shared" si="60"/>
        <v>0</v>
      </c>
      <c r="M166" s="295">
        <f t="shared" si="60"/>
        <v>0</v>
      </c>
      <c r="N166" s="295">
        <f t="shared" si="60"/>
        <v>0</v>
      </c>
      <c r="O166" s="295">
        <f t="shared" si="60"/>
        <v>0</v>
      </c>
      <c r="P166" s="295">
        <f t="shared" si="60"/>
        <v>0</v>
      </c>
      <c r="Q166" s="295">
        <f t="shared" si="60"/>
        <v>0</v>
      </c>
      <c r="R166" s="295">
        <f t="shared" si="60"/>
        <v>0</v>
      </c>
      <c r="S166" s="295">
        <f t="shared" si="60"/>
        <v>0</v>
      </c>
      <c r="T166" s="233">
        <f>SUM(H166:S166)</f>
        <v>0</v>
      </c>
    </row>
    <row r="167" spans="1:20">
      <c r="A167" s="1"/>
      <c r="B167" s="1" t="s">
        <v>390</v>
      </c>
      <c r="C167" s="1"/>
      <c r="D167" s="296"/>
      <c r="E167" s="306"/>
      <c r="F167" s="298"/>
      <c r="G167" s="298"/>
      <c r="H167" s="295">
        <f>+H159*$E154</f>
        <v>0</v>
      </c>
      <c r="I167" s="295">
        <f t="shared" ref="I167:S167" si="61">+I159*$E154</f>
        <v>0</v>
      </c>
      <c r="J167" s="295">
        <f t="shared" si="61"/>
        <v>0</v>
      </c>
      <c r="K167" s="295">
        <f t="shared" si="61"/>
        <v>0</v>
      </c>
      <c r="L167" s="295">
        <f t="shared" si="61"/>
        <v>0</v>
      </c>
      <c r="M167" s="295">
        <f t="shared" si="61"/>
        <v>0</v>
      </c>
      <c r="N167" s="295">
        <f t="shared" si="61"/>
        <v>0</v>
      </c>
      <c r="O167" s="295">
        <f t="shared" si="61"/>
        <v>0</v>
      </c>
      <c r="P167" s="295">
        <f t="shared" si="61"/>
        <v>0</v>
      </c>
      <c r="Q167" s="295">
        <f t="shared" si="61"/>
        <v>0</v>
      </c>
      <c r="R167" s="295">
        <f t="shared" si="61"/>
        <v>0</v>
      </c>
      <c r="S167" s="295">
        <f t="shared" si="61"/>
        <v>0</v>
      </c>
      <c r="T167" s="233">
        <f>SUM(H167:S167)</f>
        <v>0</v>
      </c>
    </row>
    <row r="168" spans="1:20">
      <c r="A168" s="1"/>
      <c r="B168" s="334"/>
      <c r="C168" s="334" t="s">
        <v>409</v>
      </c>
      <c r="D168" s="356"/>
      <c r="E168" s="294"/>
      <c r="F168" s="294"/>
      <c r="G168" s="294"/>
      <c r="H168" s="365">
        <f>+H159*($E$154-'4.Cost of Goods-Svcs Sold'!$E$35)</f>
        <v>0</v>
      </c>
      <c r="I168" s="365">
        <f>+I159*($E$154-'4.Cost of Goods-Svcs Sold'!$E$35)</f>
        <v>0</v>
      </c>
      <c r="J168" s="365">
        <f>+J159*($E$154-'4.Cost of Goods-Svcs Sold'!$E$35)</f>
        <v>0</v>
      </c>
      <c r="K168" s="365">
        <f>+K159*($E$154-'4.Cost of Goods-Svcs Sold'!$E$35)</f>
        <v>0</v>
      </c>
      <c r="L168" s="365">
        <f>+L159*($E$154-'4.Cost of Goods-Svcs Sold'!$E$35)</f>
        <v>0</v>
      </c>
      <c r="M168" s="365">
        <f>+M159*($E$154-'4.Cost of Goods-Svcs Sold'!$E$35)</f>
        <v>0</v>
      </c>
      <c r="N168" s="365">
        <f>+N159*($E$154-'4.Cost of Goods-Svcs Sold'!$E$35)</f>
        <v>0</v>
      </c>
      <c r="O168" s="365">
        <f>+O159*($E$154-'4.Cost of Goods-Svcs Sold'!$E$35)</f>
        <v>0</v>
      </c>
      <c r="P168" s="365">
        <f>+P159*($E$154-'4.Cost of Goods-Svcs Sold'!$E$35)</f>
        <v>0</v>
      </c>
      <c r="Q168" s="365">
        <f>+Q159*($E$154-'4.Cost of Goods-Svcs Sold'!$E$35)</f>
        <v>0</v>
      </c>
      <c r="R168" s="365">
        <f>+R159*($E$154-'4.Cost of Goods-Svcs Sold'!$E$35)</f>
        <v>0</v>
      </c>
      <c r="S168" s="365">
        <f>+S159*($E$154-'4.Cost of Goods-Svcs Sold'!$E$35)</f>
        <v>0</v>
      </c>
    </row>
    <row r="169" spans="1:20">
      <c r="A169" s="1"/>
      <c r="B169" s="1" t="s">
        <v>32</v>
      </c>
      <c r="C169" s="1"/>
      <c r="D169" s="296"/>
      <c r="E169" s="307"/>
      <c r="F169" s="294"/>
      <c r="G169" s="294"/>
      <c r="H169" s="295">
        <f>+H160*$E153</f>
        <v>0</v>
      </c>
      <c r="I169" s="295">
        <f t="shared" ref="I169:S169" si="62">+I160*$E153</f>
        <v>0</v>
      </c>
      <c r="J169" s="295">
        <f t="shared" si="62"/>
        <v>0</v>
      </c>
      <c r="K169" s="295">
        <f t="shared" si="62"/>
        <v>0</v>
      </c>
      <c r="L169" s="295">
        <f t="shared" si="62"/>
        <v>0</v>
      </c>
      <c r="M169" s="295">
        <f t="shared" si="62"/>
        <v>0</v>
      </c>
      <c r="N169" s="295">
        <f t="shared" si="62"/>
        <v>0</v>
      </c>
      <c r="O169" s="295">
        <f t="shared" si="62"/>
        <v>0</v>
      </c>
      <c r="P169" s="295">
        <f t="shared" si="62"/>
        <v>0</v>
      </c>
      <c r="Q169" s="295">
        <f t="shared" si="62"/>
        <v>0</v>
      </c>
      <c r="R169" s="295">
        <f t="shared" si="62"/>
        <v>0</v>
      </c>
      <c r="S169" s="295">
        <f t="shared" si="62"/>
        <v>0</v>
      </c>
      <c r="T169" s="233">
        <f>SUM(H169:S169)</f>
        <v>0</v>
      </c>
    </row>
    <row r="170" spans="1:20">
      <c r="A170" s="1"/>
      <c r="B170" s="1" t="s">
        <v>391</v>
      </c>
      <c r="C170" s="1"/>
      <c r="D170" s="296"/>
      <c r="E170" s="308"/>
      <c r="F170" s="298"/>
      <c r="G170" s="298"/>
      <c r="H170" s="295">
        <f>+H160*$E154</f>
        <v>0</v>
      </c>
      <c r="I170" s="295">
        <f t="shared" ref="I170:S170" si="63">+I160*$E154</f>
        <v>0</v>
      </c>
      <c r="J170" s="295">
        <f t="shared" si="63"/>
        <v>0</v>
      </c>
      <c r="K170" s="295">
        <f t="shared" si="63"/>
        <v>0</v>
      </c>
      <c r="L170" s="295">
        <f t="shared" si="63"/>
        <v>0</v>
      </c>
      <c r="M170" s="295">
        <f t="shared" si="63"/>
        <v>0</v>
      </c>
      <c r="N170" s="295">
        <f t="shared" si="63"/>
        <v>0</v>
      </c>
      <c r="O170" s="295">
        <f t="shared" si="63"/>
        <v>0</v>
      </c>
      <c r="P170" s="295">
        <f t="shared" si="63"/>
        <v>0</v>
      </c>
      <c r="Q170" s="295">
        <f t="shared" si="63"/>
        <v>0</v>
      </c>
      <c r="R170" s="295">
        <f t="shared" si="63"/>
        <v>0</v>
      </c>
      <c r="S170" s="295">
        <f t="shared" si="63"/>
        <v>0</v>
      </c>
      <c r="T170" s="233">
        <f>SUM(H170:S170)</f>
        <v>0</v>
      </c>
    </row>
    <row r="171" spans="1:20">
      <c r="A171" s="1"/>
      <c r="B171" s="356"/>
      <c r="C171" s="334" t="s">
        <v>409</v>
      </c>
      <c r="D171" s="356"/>
      <c r="E171" s="308"/>
      <c r="F171" s="298"/>
      <c r="G171" s="298"/>
      <c r="H171" s="365">
        <f>+H160*($E$154-'4.Cost of Goods-Svcs Sold'!$E$35)</f>
        <v>0</v>
      </c>
      <c r="I171" s="365">
        <f>+I160*($E$154-'4.Cost of Goods-Svcs Sold'!$E$35)</f>
        <v>0</v>
      </c>
      <c r="J171" s="365">
        <f>+J160*($E$154-'4.Cost of Goods-Svcs Sold'!$E$35)</f>
        <v>0</v>
      </c>
      <c r="K171" s="365">
        <f>+K160*($E$154-'4.Cost of Goods-Svcs Sold'!$E$35)</f>
        <v>0</v>
      </c>
      <c r="L171" s="365">
        <f>+L160*($E$154-'4.Cost of Goods-Svcs Sold'!$E$35)</f>
        <v>0</v>
      </c>
      <c r="M171" s="365">
        <f>+M160*($E$154-'4.Cost of Goods-Svcs Sold'!$E$35)</f>
        <v>0</v>
      </c>
      <c r="N171" s="365">
        <f>+N160*($E$154-'4.Cost of Goods-Svcs Sold'!$E$35)</f>
        <v>0</v>
      </c>
      <c r="O171" s="365">
        <f>+O160*($E$154-'4.Cost of Goods-Svcs Sold'!$E$35)</f>
        <v>0</v>
      </c>
      <c r="P171" s="365">
        <f>+P160*($E$154-'4.Cost of Goods-Svcs Sold'!$E$35)</f>
        <v>0</v>
      </c>
      <c r="Q171" s="365">
        <f>+Q160*($E$154-'4.Cost of Goods-Svcs Sold'!$E$35)</f>
        <v>0</v>
      </c>
      <c r="R171" s="365">
        <f>+R160*($E$154-'4.Cost of Goods-Svcs Sold'!$E$35)</f>
        <v>0</v>
      </c>
      <c r="S171" s="365">
        <f>+S160*($E$154-'4.Cost of Goods-Svcs Sold'!$E$35)</f>
        <v>0</v>
      </c>
    </row>
    <row r="172" spans="1:20">
      <c r="A172" s="1"/>
      <c r="B172" s="1"/>
      <c r="C172" s="1"/>
      <c r="D172" s="296"/>
      <c r="E172" s="308"/>
      <c r="F172" s="298"/>
      <c r="G172" s="298"/>
      <c r="H172" s="295"/>
      <c r="I172" s="295"/>
      <c r="J172" s="295"/>
      <c r="K172" s="295"/>
      <c r="L172" s="295"/>
      <c r="M172" s="295"/>
      <c r="N172" s="295"/>
      <c r="O172" s="295"/>
      <c r="P172" s="295"/>
      <c r="Q172" s="295"/>
      <c r="R172" s="295"/>
      <c r="S172" s="295"/>
    </row>
    <row r="173" spans="1:20">
      <c r="A173" s="225" t="str">
        <f>+'4.Cost of Goods-Svcs Sold'!G34</f>
        <v>Product/Service 15</v>
      </c>
      <c r="B173" s="225"/>
      <c r="C173" s="225"/>
      <c r="D173" s="225"/>
      <c r="E173" s="294"/>
      <c r="F173" s="294"/>
      <c r="G173" s="294"/>
      <c r="H173" s="295"/>
      <c r="I173" s="295"/>
      <c r="J173" s="295"/>
      <c r="K173" s="295"/>
      <c r="L173" s="295"/>
      <c r="M173" s="295"/>
      <c r="N173" s="295"/>
      <c r="O173" s="295"/>
      <c r="P173" s="295"/>
      <c r="Q173" s="295"/>
      <c r="R173" s="295"/>
      <c r="S173" s="295"/>
    </row>
    <row r="174" spans="1:20">
      <c r="A174" s="1"/>
      <c r="B174" s="1" t="s">
        <v>276</v>
      </c>
      <c r="C174" s="1"/>
      <c r="D174" s="296"/>
      <c r="E174" s="297"/>
      <c r="F174" s="298">
        <v>1</v>
      </c>
      <c r="G174" s="298"/>
      <c r="H174" s="295"/>
      <c r="I174" s="295"/>
      <c r="J174" s="295"/>
      <c r="K174" s="295"/>
      <c r="L174" s="295"/>
      <c r="M174" s="295"/>
      <c r="N174" s="295"/>
      <c r="O174" s="295"/>
      <c r="P174" s="295"/>
      <c r="Q174" s="295"/>
      <c r="R174" s="295"/>
      <c r="S174" s="295"/>
    </row>
    <row r="175" spans="1:20">
      <c r="A175" s="1"/>
      <c r="B175" s="1" t="s">
        <v>403</v>
      </c>
      <c r="C175" s="1"/>
      <c r="D175" s="296"/>
      <c r="E175" s="397">
        <f>+'4.Cost of Goods-Svcs Sold'!H41</f>
        <v>0</v>
      </c>
      <c r="F175" s="299">
        <f>IF(E174&gt;0,E175/E174,0)</f>
        <v>0</v>
      </c>
      <c r="G175" s="298"/>
      <c r="H175" s="295"/>
      <c r="I175" s="295"/>
      <c r="J175" s="295"/>
      <c r="K175" s="295"/>
      <c r="L175" s="295"/>
      <c r="M175" s="295"/>
      <c r="N175" s="295"/>
      <c r="O175" s="295"/>
      <c r="P175" s="295"/>
      <c r="Q175" s="295"/>
      <c r="R175" s="295"/>
      <c r="S175" s="295"/>
    </row>
    <row r="176" spans="1:20">
      <c r="A176" s="1"/>
      <c r="B176" s="1" t="s">
        <v>289</v>
      </c>
      <c r="C176" s="1"/>
      <c r="D176" s="296"/>
      <c r="E176" s="300">
        <f>E174-E175</f>
        <v>0</v>
      </c>
      <c r="F176" s="298">
        <f>IF(E174&gt;0,E176/E174,0)</f>
        <v>0</v>
      </c>
      <c r="G176" s="298"/>
      <c r="H176" s="295"/>
      <c r="I176" s="295"/>
      <c r="J176" s="295"/>
      <c r="K176" s="295"/>
      <c r="L176" s="295"/>
      <c r="M176" s="295"/>
      <c r="N176" s="295"/>
      <c r="O176" s="295"/>
      <c r="P176" s="295"/>
      <c r="Q176" s="295"/>
      <c r="R176" s="295"/>
      <c r="S176" s="295"/>
    </row>
    <row r="177" spans="1:20">
      <c r="A177" s="1"/>
      <c r="B177" s="1" t="s">
        <v>282</v>
      </c>
      <c r="C177" s="1"/>
      <c r="D177" s="296"/>
      <c r="E177" s="294"/>
      <c r="F177" s="294"/>
      <c r="G177" s="294"/>
      <c r="H177" s="295"/>
      <c r="I177" s="295"/>
      <c r="J177" s="295"/>
      <c r="K177" s="295"/>
      <c r="L177" s="295"/>
      <c r="M177" s="295"/>
      <c r="N177" s="295"/>
      <c r="O177" s="295"/>
      <c r="P177" s="295"/>
      <c r="Q177" s="295"/>
      <c r="R177" s="295"/>
      <c r="S177" s="295"/>
    </row>
    <row r="178" spans="1:20" ht="12.75" thickBot="1">
      <c r="A178" s="1"/>
      <c r="B178" s="1"/>
      <c r="C178" s="1" t="s">
        <v>287</v>
      </c>
      <c r="D178" s="296"/>
      <c r="E178" s="294"/>
      <c r="F178" s="294"/>
      <c r="G178" s="294"/>
      <c r="H178" s="309">
        <f t="shared" ref="H178:S178" si="64">IF(H179=0,0,H179/$T179)</f>
        <v>0</v>
      </c>
      <c r="I178" s="309">
        <f t="shared" si="64"/>
        <v>0</v>
      </c>
      <c r="J178" s="309">
        <f t="shared" si="64"/>
        <v>0</v>
      </c>
      <c r="K178" s="309">
        <f t="shared" si="64"/>
        <v>0</v>
      </c>
      <c r="L178" s="309">
        <f t="shared" si="64"/>
        <v>0</v>
      </c>
      <c r="M178" s="309">
        <f t="shared" si="64"/>
        <v>0</v>
      </c>
      <c r="N178" s="309">
        <f t="shared" si="64"/>
        <v>0</v>
      </c>
      <c r="O178" s="309">
        <f t="shared" si="64"/>
        <v>0</v>
      </c>
      <c r="P178" s="309">
        <f t="shared" si="64"/>
        <v>0</v>
      </c>
      <c r="Q178" s="309">
        <f t="shared" si="64"/>
        <v>0</v>
      </c>
      <c r="R178" s="309">
        <f t="shared" si="64"/>
        <v>0</v>
      </c>
      <c r="S178" s="309">
        <f t="shared" si="64"/>
        <v>0</v>
      </c>
      <c r="T178" s="310">
        <f>SUM(H178:S178)</f>
        <v>0</v>
      </c>
    </row>
    <row r="179" spans="1:20">
      <c r="A179" s="1"/>
      <c r="B179" s="1"/>
      <c r="C179" s="1" t="str">
        <f>+$C$11</f>
        <v>Monthly Unit Sales Year 1</v>
      </c>
      <c r="D179" s="296"/>
      <c r="E179" s="294"/>
      <c r="F179" s="294"/>
      <c r="G179" s="294"/>
      <c r="H179" s="301"/>
      <c r="I179" s="301"/>
      <c r="J179" s="301"/>
      <c r="K179" s="301"/>
      <c r="L179" s="301"/>
      <c r="M179" s="301"/>
      <c r="N179" s="301"/>
      <c r="O179" s="301"/>
      <c r="P179" s="301"/>
      <c r="Q179" s="301"/>
      <c r="R179" s="301"/>
      <c r="S179" s="301"/>
      <c r="T179" s="233">
        <f>SUM(H179:S179)</f>
        <v>0</v>
      </c>
    </row>
    <row r="180" spans="1:20">
      <c r="A180" s="1"/>
      <c r="B180" s="1"/>
      <c r="C180" s="1" t="s">
        <v>404</v>
      </c>
      <c r="D180" s="296"/>
      <c r="E180" s="302">
        <v>0</v>
      </c>
      <c r="F180" s="303"/>
      <c r="G180" s="298"/>
      <c r="H180" s="313">
        <f>IF($E180=0,S179,ROUND((1+($E180/12))*S179,0))</f>
        <v>0</v>
      </c>
      <c r="I180" s="313">
        <f>IF($E180=0,H180,ROUND((1+($E180/12))*H180,0))</f>
        <v>0</v>
      </c>
      <c r="J180" s="313">
        <f t="shared" ref="J180:S181" si="65">IF($E180=0,I180,ROUND((1+($E180/12))*I180,0))</f>
        <v>0</v>
      </c>
      <c r="K180" s="313">
        <f t="shared" si="65"/>
        <v>0</v>
      </c>
      <c r="L180" s="313">
        <f t="shared" si="65"/>
        <v>0</v>
      </c>
      <c r="M180" s="313">
        <f t="shared" si="65"/>
        <v>0</v>
      </c>
      <c r="N180" s="313">
        <f t="shared" si="65"/>
        <v>0</v>
      </c>
      <c r="O180" s="313">
        <f t="shared" si="65"/>
        <v>0</v>
      </c>
      <c r="P180" s="313">
        <f t="shared" si="65"/>
        <v>0</v>
      </c>
      <c r="Q180" s="313">
        <f t="shared" si="65"/>
        <v>0</v>
      </c>
      <c r="R180" s="313">
        <f t="shared" si="65"/>
        <v>0</v>
      </c>
      <c r="S180" s="313">
        <f t="shared" si="65"/>
        <v>0</v>
      </c>
      <c r="T180" s="233">
        <f>SUM(H180:S180)</f>
        <v>0</v>
      </c>
    </row>
    <row r="181" spans="1:20">
      <c r="A181" s="296"/>
      <c r="B181" s="1"/>
      <c r="C181" s="1" t="s">
        <v>405</v>
      </c>
      <c r="D181" s="296"/>
      <c r="E181" s="302">
        <v>0</v>
      </c>
      <c r="F181" s="294"/>
      <c r="G181" s="298"/>
      <c r="H181" s="313">
        <f>IF($E181=0,S180,ROUND((1+($E181/12))*S180,0))</f>
        <v>0</v>
      </c>
      <c r="I181" s="313">
        <f>IF($E181=0,H181,ROUND((1+($E181/12))*H181,0))</f>
        <v>0</v>
      </c>
      <c r="J181" s="313">
        <f t="shared" si="65"/>
        <v>0</v>
      </c>
      <c r="K181" s="313">
        <f t="shared" si="65"/>
        <v>0</v>
      </c>
      <c r="L181" s="313">
        <f t="shared" si="65"/>
        <v>0</v>
      </c>
      <c r="M181" s="313">
        <f t="shared" si="65"/>
        <v>0</v>
      </c>
      <c r="N181" s="313">
        <f t="shared" si="65"/>
        <v>0</v>
      </c>
      <c r="O181" s="313">
        <f t="shared" si="65"/>
        <v>0</v>
      </c>
      <c r="P181" s="313">
        <f t="shared" si="65"/>
        <v>0</v>
      </c>
      <c r="Q181" s="313">
        <f t="shared" si="65"/>
        <v>0</v>
      </c>
      <c r="R181" s="313">
        <f t="shared" si="65"/>
        <v>0</v>
      </c>
      <c r="S181" s="313">
        <f t="shared" si="65"/>
        <v>0</v>
      </c>
      <c r="T181" s="233">
        <f>SUM(H181:S181)</f>
        <v>0</v>
      </c>
    </row>
    <row r="182" spans="1:20">
      <c r="A182" s="296"/>
      <c r="B182" s="344" t="s">
        <v>115</v>
      </c>
      <c r="C182" s="1"/>
      <c r="D182" s="296"/>
      <c r="E182" s="302"/>
      <c r="F182" s="294"/>
      <c r="G182" s="298"/>
      <c r="H182" s="304"/>
      <c r="I182" s="304"/>
      <c r="J182" s="304"/>
      <c r="K182" s="304"/>
      <c r="L182" s="304"/>
      <c r="M182" s="304"/>
      <c r="N182" s="304"/>
      <c r="O182" s="304"/>
      <c r="P182" s="304"/>
      <c r="Q182" s="304"/>
      <c r="R182" s="304"/>
      <c r="S182" s="304"/>
    </row>
    <row r="183" spans="1:20">
      <c r="A183" s="296"/>
      <c r="B183" s="1"/>
      <c r="C183" s="1"/>
      <c r="D183" s="296"/>
      <c r="E183" s="294"/>
      <c r="F183" s="294"/>
      <c r="G183" s="294"/>
      <c r="H183" s="295"/>
      <c r="I183" s="295"/>
      <c r="J183" s="295"/>
      <c r="K183" s="295"/>
      <c r="L183" s="295"/>
      <c r="M183" s="295"/>
      <c r="N183" s="295"/>
      <c r="O183" s="295"/>
      <c r="P183" s="295"/>
      <c r="Q183" s="295"/>
      <c r="R183" s="295"/>
      <c r="S183" s="295"/>
    </row>
    <row r="184" spans="1:20">
      <c r="A184" s="296"/>
      <c r="B184" s="1" t="s">
        <v>28</v>
      </c>
      <c r="C184" s="1"/>
      <c r="D184" s="296"/>
      <c r="E184" s="305">
        <f>T179*E174</f>
        <v>0</v>
      </c>
      <c r="F184" s="298"/>
      <c r="G184" s="294"/>
      <c r="H184" s="295">
        <f>+H179*$E174</f>
        <v>0</v>
      </c>
      <c r="I184" s="295">
        <f t="shared" ref="I184:S184" si="66">+I179*$E174</f>
        <v>0</v>
      </c>
      <c r="J184" s="295">
        <f t="shared" si="66"/>
        <v>0</v>
      </c>
      <c r="K184" s="295">
        <f t="shared" si="66"/>
        <v>0</v>
      </c>
      <c r="L184" s="295">
        <f t="shared" si="66"/>
        <v>0</v>
      </c>
      <c r="M184" s="295">
        <f t="shared" si="66"/>
        <v>0</v>
      </c>
      <c r="N184" s="295">
        <f t="shared" si="66"/>
        <v>0</v>
      </c>
      <c r="O184" s="295">
        <f t="shared" si="66"/>
        <v>0</v>
      </c>
      <c r="P184" s="295">
        <f t="shared" si="66"/>
        <v>0</v>
      </c>
      <c r="Q184" s="295">
        <f t="shared" si="66"/>
        <v>0</v>
      </c>
      <c r="R184" s="295">
        <f t="shared" si="66"/>
        <v>0</v>
      </c>
      <c r="S184" s="295">
        <f t="shared" si="66"/>
        <v>0</v>
      </c>
      <c r="T184" s="233">
        <f>SUM(H184:S184)</f>
        <v>0</v>
      </c>
    </row>
    <row r="185" spans="1:20">
      <c r="A185" s="296"/>
      <c r="B185" s="1" t="s">
        <v>389</v>
      </c>
      <c r="C185" s="1"/>
      <c r="D185" s="296"/>
      <c r="E185" s="306">
        <f>E175*T179</f>
        <v>0</v>
      </c>
      <c r="F185" s="298"/>
      <c r="G185" s="294"/>
      <c r="H185" s="295">
        <f>+H179*$E175</f>
        <v>0</v>
      </c>
      <c r="I185" s="295">
        <f t="shared" ref="I185:S185" si="67">+I179*$E175</f>
        <v>0</v>
      </c>
      <c r="J185" s="295">
        <f t="shared" si="67"/>
        <v>0</v>
      </c>
      <c r="K185" s="295">
        <f t="shared" si="67"/>
        <v>0</v>
      </c>
      <c r="L185" s="295">
        <f t="shared" si="67"/>
        <v>0</v>
      </c>
      <c r="M185" s="295">
        <f t="shared" si="67"/>
        <v>0</v>
      </c>
      <c r="N185" s="295">
        <f t="shared" si="67"/>
        <v>0</v>
      </c>
      <c r="O185" s="295">
        <f t="shared" si="67"/>
        <v>0</v>
      </c>
      <c r="P185" s="295">
        <f t="shared" si="67"/>
        <v>0</v>
      </c>
      <c r="Q185" s="295">
        <f t="shared" si="67"/>
        <v>0</v>
      </c>
      <c r="R185" s="295">
        <f t="shared" si="67"/>
        <v>0</v>
      </c>
      <c r="S185" s="295">
        <f t="shared" si="67"/>
        <v>0</v>
      </c>
      <c r="T185" s="233">
        <f>SUM(H185:S185)</f>
        <v>0</v>
      </c>
    </row>
    <row r="186" spans="1:20">
      <c r="A186" s="1"/>
      <c r="B186" s="356"/>
      <c r="C186" s="334" t="s">
        <v>409</v>
      </c>
      <c r="D186" s="356"/>
      <c r="E186" s="306"/>
      <c r="F186" s="298"/>
      <c r="G186" s="294"/>
      <c r="H186" s="365">
        <f>+H179*($E$175-'4.Cost of Goods-Svcs Sold'!$H$35)</f>
        <v>0</v>
      </c>
      <c r="I186" s="365">
        <f>+I179*($E$175-'4.Cost of Goods-Svcs Sold'!$H$35)</f>
        <v>0</v>
      </c>
      <c r="J186" s="365">
        <f>+J179*($E$175-'4.Cost of Goods-Svcs Sold'!$H$35)</f>
        <v>0</v>
      </c>
      <c r="K186" s="365">
        <f>+K179*($E$175-'4.Cost of Goods-Svcs Sold'!$H$35)</f>
        <v>0</v>
      </c>
      <c r="L186" s="365">
        <f>+L179*($E$175-'4.Cost of Goods-Svcs Sold'!$H$35)</f>
        <v>0</v>
      </c>
      <c r="M186" s="365">
        <f>+M179*($E$175-'4.Cost of Goods-Svcs Sold'!$H$35)</f>
        <v>0</v>
      </c>
      <c r="N186" s="365">
        <f>+N179*($E$175-'4.Cost of Goods-Svcs Sold'!$H$35)</f>
        <v>0</v>
      </c>
      <c r="O186" s="365">
        <f>+O179*($E$175-'4.Cost of Goods-Svcs Sold'!$H$35)</f>
        <v>0</v>
      </c>
      <c r="P186" s="365">
        <f>+P179*($E$175-'4.Cost of Goods-Svcs Sold'!$H$35)</f>
        <v>0</v>
      </c>
      <c r="Q186" s="365">
        <f>+Q179*($E$175-'4.Cost of Goods-Svcs Sold'!$H$35)</f>
        <v>0</v>
      </c>
      <c r="R186" s="365">
        <f>+R179*($E$175-'4.Cost of Goods-Svcs Sold'!$H$35)</f>
        <v>0</v>
      </c>
      <c r="S186" s="365">
        <f>+S179*($E$175-'4.Cost of Goods-Svcs Sold'!$H$35)</f>
        <v>0</v>
      </c>
    </row>
    <row r="187" spans="1:20">
      <c r="A187" s="1"/>
      <c r="B187" s="1" t="s">
        <v>30</v>
      </c>
      <c r="C187" s="1"/>
      <c r="D187" s="296"/>
      <c r="E187" s="306"/>
      <c r="F187" s="298"/>
      <c r="G187" s="298"/>
      <c r="H187" s="295">
        <f>+H180*$E174</f>
        <v>0</v>
      </c>
      <c r="I187" s="295">
        <f t="shared" ref="I187:S187" si="68">+I180*$E174</f>
        <v>0</v>
      </c>
      <c r="J187" s="295">
        <f t="shared" si="68"/>
        <v>0</v>
      </c>
      <c r="K187" s="295">
        <f t="shared" si="68"/>
        <v>0</v>
      </c>
      <c r="L187" s="295">
        <f t="shared" si="68"/>
        <v>0</v>
      </c>
      <c r="M187" s="295">
        <f t="shared" si="68"/>
        <v>0</v>
      </c>
      <c r="N187" s="295">
        <f t="shared" si="68"/>
        <v>0</v>
      </c>
      <c r="O187" s="295">
        <f t="shared" si="68"/>
        <v>0</v>
      </c>
      <c r="P187" s="295">
        <f t="shared" si="68"/>
        <v>0</v>
      </c>
      <c r="Q187" s="295">
        <f t="shared" si="68"/>
        <v>0</v>
      </c>
      <c r="R187" s="295">
        <f t="shared" si="68"/>
        <v>0</v>
      </c>
      <c r="S187" s="295">
        <f t="shared" si="68"/>
        <v>0</v>
      </c>
      <c r="T187" s="233">
        <f>SUM(H187:S187)</f>
        <v>0</v>
      </c>
    </row>
    <row r="188" spans="1:20">
      <c r="A188" s="1"/>
      <c r="B188" s="1" t="s">
        <v>390</v>
      </c>
      <c r="C188" s="1"/>
      <c r="D188" s="296"/>
      <c r="E188" s="306"/>
      <c r="F188" s="298"/>
      <c r="G188" s="298"/>
      <c r="H188" s="295">
        <f>+H180*$E175</f>
        <v>0</v>
      </c>
      <c r="I188" s="295">
        <f t="shared" ref="I188:S188" si="69">+I180*$E175</f>
        <v>0</v>
      </c>
      <c r="J188" s="295">
        <f t="shared" si="69"/>
        <v>0</v>
      </c>
      <c r="K188" s="295">
        <f t="shared" si="69"/>
        <v>0</v>
      </c>
      <c r="L188" s="295">
        <f t="shared" si="69"/>
        <v>0</v>
      </c>
      <c r="M188" s="295">
        <f t="shared" si="69"/>
        <v>0</v>
      </c>
      <c r="N188" s="295">
        <f t="shared" si="69"/>
        <v>0</v>
      </c>
      <c r="O188" s="295">
        <f t="shared" si="69"/>
        <v>0</v>
      </c>
      <c r="P188" s="295">
        <f t="shared" si="69"/>
        <v>0</v>
      </c>
      <c r="Q188" s="295">
        <f t="shared" si="69"/>
        <v>0</v>
      </c>
      <c r="R188" s="295">
        <f t="shared" si="69"/>
        <v>0</v>
      </c>
      <c r="S188" s="295">
        <f t="shared" si="69"/>
        <v>0</v>
      </c>
      <c r="T188" s="233">
        <f>SUM(H188:S188)</f>
        <v>0</v>
      </c>
    </row>
    <row r="189" spans="1:20">
      <c r="A189" s="1"/>
      <c r="B189" s="334"/>
      <c r="C189" s="334" t="s">
        <v>409</v>
      </c>
      <c r="D189" s="356"/>
      <c r="E189" s="294"/>
      <c r="F189" s="294"/>
      <c r="G189" s="294"/>
      <c r="H189" s="365">
        <f>+H180*($E$175-'4.Cost of Goods-Svcs Sold'!$H$35)</f>
        <v>0</v>
      </c>
      <c r="I189" s="365">
        <f>+I180*($E$175-'4.Cost of Goods-Svcs Sold'!$H$35)</f>
        <v>0</v>
      </c>
      <c r="J189" s="365">
        <f>+J180*($E$175-'4.Cost of Goods-Svcs Sold'!$H$35)</f>
        <v>0</v>
      </c>
      <c r="K189" s="365">
        <f>+K180*($E$175-'4.Cost of Goods-Svcs Sold'!$H$35)</f>
        <v>0</v>
      </c>
      <c r="L189" s="365">
        <f>+L180*($E$175-'4.Cost of Goods-Svcs Sold'!$H$35)</f>
        <v>0</v>
      </c>
      <c r="M189" s="365">
        <f>+M180*($E$175-'4.Cost of Goods-Svcs Sold'!$H$35)</f>
        <v>0</v>
      </c>
      <c r="N189" s="365">
        <f>+N180*($E$175-'4.Cost of Goods-Svcs Sold'!$H$35)</f>
        <v>0</v>
      </c>
      <c r="O189" s="365">
        <f>+O180*($E$175-'4.Cost of Goods-Svcs Sold'!$H$35)</f>
        <v>0</v>
      </c>
      <c r="P189" s="365">
        <f>+P180*($E$175-'4.Cost of Goods-Svcs Sold'!$H$35)</f>
        <v>0</v>
      </c>
      <c r="Q189" s="365">
        <f>+Q180*($E$175-'4.Cost of Goods-Svcs Sold'!$H$35)</f>
        <v>0</v>
      </c>
      <c r="R189" s="365">
        <f>+R180*($E$175-'4.Cost of Goods-Svcs Sold'!$H$35)</f>
        <v>0</v>
      </c>
      <c r="S189" s="365">
        <f>+S180*($E$175-'4.Cost of Goods-Svcs Sold'!$H$35)</f>
        <v>0</v>
      </c>
    </row>
    <row r="190" spans="1:20">
      <c r="A190" s="1"/>
      <c r="B190" s="1" t="s">
        <v>32</v>
      </c>
      <c r="C190" s="1"/>
      <c r="D190" s="296"/>
      <c r="E190" s="307"/>
      <c r="F190" s="294"/>
      <c r="G190" s="294"/>
      <c r="H190" s="295">
        <f>+H181*$E174</f>
        <v>0</v>
      </c>
      <c r="I190" s="295">
        <f t="shared" ref="I190:S190" si="70">+I181*$E174</f>
        <v>0</v>
      </c>
      <c r="J190" s="295">
        <f t="shared" si="70"/>
        <v>0</v>
      </c>
      <c r="K190" s="295">
        <f t="shared" si="70"/>
        <v>0</v>
      </c>
      <c r="L190" s="295">
        <f t="shared" si="70"/>
        <v>0</v>
      </c>
      <c r="M190" s="295">
        <f t="shared" si="70"/>
        <v>0</v>
      </c>
      <c r="N190" s="295">
        <f t="shared" si="70"/>
        <v>0</v>
      </c>
      <c r="O190" s="295">
        <f t="shared" si="70"/>
        <v>0</v>
      </c>
      <c r="P190" s="295">
        <f t="shared" si="70"/>
        <v>0</v>
      </c>
      <c r="Q190" s="295">
        <f t="shared" si="70"/>
        <v>0</v>
      </c>
      <c r="R190" s="295">
        <f t="shared" si="70"/>
        <v>0</v>
      </c>
      <c r="S190" s="295">
        <f t="shared" si="70"/>
        <v>0</v>
      </c>
      <c r="T190" s="233">
        <f>SUM(H190:S190)</f>
        <v>0</v>
      </c>
    </row>
    <row r="191" spans="1:20">
      <c r="A191" s="1"/>
      <c r="B191" s="1" t="s">
        <v>391</v>
      </c>
      <c r="C191" s="1"/>
      <c r="D191" s="296"/>
      <c r="E191" s="308"/>
      <c r="F191" s="298"/>
      <c r="G191" s="298"/>
      <c r="H191" s="295">
        <f>+H181*$E175</f>
        <v>0</v>
      </c>
      <c r="I191" s="295">
        <f t="shared" ref="I191:S191" si="71">+I181*$E175</f>
        <v>0</v>
      </c>
      <c r="J191" s="295">
        <f t="shared" si="71"/>
        <v>0</v>
      </c>
      <c r="K191" s="295">
        <f t="shared" si="71"/>
        <v>0</v>
      </c>
      <c r="L191" s="295">
        <f t="shared" si="71"/>
        <v>0</v>
      </c>
      <c r="M191" s="295">
        <f t="shared" si="71"/>
        <v>0</v>
      </c>
      <c r="N191" s="295">
        <f t="shared" si="71"/>
        <v>0</v>
      </c>
      <c r="O191" s="295">
        <f t="shared" si="71"/>
        <v>0</v>
      </c>
      <c r="P191" s="295">
        <f t="shared" si="71"/>
        <v>0</v>
      </c>
      <c r="Q191" s="295">
        <f t="shared" si="71"/>
        <v>0</v>
      </c>
      <c r="R191" s="295">
        <f t="shared" si="71"/>
        <v>0</v>
      </c>
      <c r="S191" s="295">
        <f t="shared" si="71"/>
        <v>0</v>
      </c>
      <c r="T191" s="233">
        <f>SUM(H191:S191)</f>
        <v>0</v>
      </c>
    </row>
    <row r="192" spans="1:20">
      <c r="A192" s="1"/>
      <c r="B192" s="356"/>
      <c r="C192" s="334" t="s">
        <v>409</v>
      </c>
      <c r="D192" s="356"/>
      <c r="E192" s="308"/>
      <c r="F192" s="298"/>
      <c r="G192" s="298"/>
      <c r="H192" s="365">
        <f>+H181*($E$175-'4.Cost of Goods-Svcs Sold'!$H$35)</f>
        <v>0</v>
      </c>
      <c r="I192" s="365">
        <f>+I181*($E$175-'4.Cost of Goods-Svcs Sold'!$H$35)</f>
        <v>0</v>
      </c>
      <c r="J192" s="365">
        <f>+J181*($E$175-'4.Cost of Goods-Svcs Sold'!$H$35)</f>
        <v>0</v>
      </c>
      <c r="K192" s="365">
        <f>+K181*($E$175-'4.Cost of Goods-Svcs Sold'!$H$35)</f>
        <v>0</v>
      </c>
      <c r="L192" s="365">
        <f>+L181*($E$175-'4.Cost of Goods-Svcs Sold'!$H$35)</f>
        <v>0</v>
      </c>
      <c r="M192" s="365">
        <f>+M181*($E$175-'4.Cost of Goods-Svcs Sold'!$H$35)</f>
        <v>0</v>
      </c>
      <c r="N192" s="365">
        <f>+N181*($E$175-'4.Cost of Goods-Svcs Sold'!$H$35)</f>
        <v>0</v>
      </c>
      <c r="O192" s="365">
        <f>+O181*($E$175-'4.Cost of Goods-Svcs Sold'!$H$35)</f>
        <v>0</v>
      </c>
      <c r="P192" s="365">
        <f>+P181*($E$175-'4.Cost of Goods-Svcs Sold'!$H$35)</f>
        <v>0</v>
      </c>
      <c r="Q192" s="365">
        <f>+Q181*($E$175-'4.Cost of Goods-Svcs Sold'!$H$35)</f>
        <v>0</v>
      </c>
      <c r="R192" s="365">
        <f>+R181*($E$175-'4.Cost of Goods-Svcs Sold'!$H$35)</f>
        <v>0</v>
      </c>
      <c r="S192" s="365">
        <f>+S181*($E$175-'4.Cost of Goods-Svcs Sold'!$H$35)</f>
        <v>0</v>
      </c>
    </row>
    <row r="193" spans="1:20">
      <c r="A193" s="1"/>
      <c r="B193" s="1"/>
      <c r="C193" s="1"/>
      <c r="D193" s="296"/>
      <c r="E193" s="308"/>
      <c r="F193" s="298"/>
      <c r="G193" s="298"/>
      <c r="H193" s="295"/>
      <c r="I193" s="295"/>
      <c r="J193" s="295"/>
      <c r="K193" s="295"/>
      <c r="L193" s="295"/>
      <c r="M193" s="295"/>
      <c r="N193" s="295"/>
      <c r="O193" s="295"/>
      <c r="P193" s="295"/>
      <c r="Q193" s="295"/>
      <c r="R193" s="295"/>
      <c r="S193" s="295"/>
    </row>
    <row r="194" spans="1:20">
      <c r="A194" s="225" t="str">
        <f>+'4.Cost of Goods-Svcs Sold'!J34</f>
        <v>Product/Service 16</v>
      </c>
      <c r="B194" s="225"/>
      <c r="C194" s="225"/>
      <c r="D194" s="225"/>
      <c r="E194" s="294"/>
      <c r="F194" s="294"/>
      <c r="G194" s="294"/>
      <c r="H194" s="295"/>
      <c r="I194" s="295"/>
      <c r="J194" s="295"/>
      <c r="K194" s="295"/>
      <c r="L194" s="295"/>
      <c r="M194" s="295"/>
      <c r="N194" s="295"/>
      <c r="O194" s="295"/>
      <c r="P194" s="295"/>
      <c r="Q194" s="295"/>
      <c r="R194" s="295"/>
      <c r="S194" s="295"/>
    </row>
    <row r="195" spans="1:20">
      <c r="A195" s="1"/>
      <c r="B195" s="1" t="s">
        <v>276</v>
      </c>
      <c r="C195" s="1"/>
      <c r="D195" s="296"/>
      <c r="E195" s="297"/>
      <c r="F195" s="298">
        <v>1</v>
      </c>
      <c r="G195" s="298"/>
      <c r="H195" s="295"/>
      <c r="I195" s="295"/>
      <c r="J195" s="295"/>
      <c r="K195" s="295"/>
      <c r="L195" s="295"/>
      <c r="M195" s="295"/>
      <c r="N195" s="295"/>
      <c r="O195" s="295"/>
      <c r="P195" s="295"/>
      <c r="Q195" s="295"/>
      <c r="R195" s="295"/>
      <c r="S195" s="295"/>
    </row>
    <row r="196" spans="1:20">
      <c r="A196" s="1"/>
      <c r="B196" s="1" t="s">
        <v>403</v>
      </c>
      <c r="C196" s="1"/>
      <c r="D196" s="296"/>
      <c r="E196" s="397">
        <f>+'4.Cost of Goods-Svcs Sold'!K41</f>
        <v>0</v>
      </c>
      <c r="F196" s="299">
        <f>IF(E195&gt;0,E196/E195,0)</f>
        <v>0</v>
      </c>
      <c r="G196" s="298"/>
      <c r="H196" s="295"/>
      <c r="I196" s="295"/>
      <c r="J196" s="295"/>
      <c r="K196" s="295"/>
      <c r="L196" s="295"/>
      <c r="M196" s="295"/>
      <c r="N196" s="295"/>
      <c r="O196" s="295"/>
      <c r="P196" s="295"/>
      <c r="Q196" s="295"/>
      <c r="R196" s="295"/>
      <c r="S196" s="295"/>
    </row>
    <row r="197" spans="1:20">
      <c r="A197" s="1"/>
      <c r="B197" s="1" t="s">
        <v>289</v>
      </c>
      <c r="C197" s="1"/>
      <c r="D197" s="296"/>
      <c r="E197" s="300">
        <f>E195-E196</f>
        <v>0</v>
      </c>
      <c r="F197" s="298">
        <f>IF(E195&gt;0,E197/E195,0)</f>
        <v>0</v>
      </c>
      <c r="G197" s="298"/>
      <c r="H197" s="295"/>
      <c r="I197" s="295"/>
      <c r="J197" s="295"/>
      <c r="K197" s="295"/>
      <c r="L197" s="295"/>
      <c r="M197" s="295"/>
      <c r="N197" s="295"/>
      <c r="O197" s="295"/>
      <c r="P197" s="295"/>
      <c r="Q197" s="295"/>
      <c r="R197" s="295"/>
      <c r="S197" s="295"/>
    </row>
    <row r="198" spans="1:20">
      <c r="A198" s="1"/>
      <c r="B198" s="1" t="s">
        <v>282</v>
      </c>
      <c r="C198" s="1"/>
      <c r="D198" s="296"/>
      <c r="E198" s="294"/>
      <c r="F198" s="294"/>
      <c r="G198" s="294"/>
      <c r="H198" s="295"/>
      <c r="I198" s="295"/>
      <c r="J198" s="295"/>
      <c r="K198" s="295"/>
      <c r="L198" s="295"/>
      <c r="M198" s="295"/>
      <c r="N198" s="295"/>
      <c r="O198" s="295"/>
      <c r="P198" s="295"/>
      <c r="Q198" s="295"/>
      <c r="R198" s="295"/>
      <c r="S198" s="295"/>
    </row>
    <row r="199" spans="1:20" ht="12.75" thickBot="1">
      <c r="A199" s="1"/>
      <c r="B199" s="1"/>
      <c r="C199" s="1" t="s">
        <v>287</v>
      </c>
      <c r="D199" s="296"/>
      <c r="E199" s="294"/>
      <c r="F199" s="294"/>
      <c r="G199" s="294"/>
      <c r="H199" s="309">
        <f t="shared" ref="H199:S199" si="72">IF(H200=0,0,H200/$T200)</f>
        <v>0</v>
      </c>
      <c r="I199" s="309">
        <f t="shared" si="72"/>
        <v>0</v>
      </c>
      <c r="J199" s="309">
        <f t="shared" si="72"/>
        <v>0</v>
      </c>
      <c r="K199" s="309">
        <f t="shared" si="72"/>
        <v>0</v>
      </c>
      <c r="L199" s="309">
        <f t="shared" si="72"/>
        <v>0</v>
      </c>
      <c r="M199" s="309">
        <f t="shared" si="72"/>
        <v>0</v>
      </c>
      <c r="N199" s="309">
        <f t="shared" si="72"/>
        <v>0</v>
      </c>
      <c r="O199" s="309">
        <f t="shared" si="72"/>
        <v>0</v>
      </c>
      <c r="P199" s="309">
        <f t="shared" si="72"/>
        <v>0</v>
      </c>
      <c r="Q199" s="309">
        <f t="shared" si="72"/>
        <v>0</v>
      </c>
      <c r="R199" s="309">
        <f t="shared" si="72"/>
        <v>0</v>
      </c>
      <c r="S199" s="309">
        <f t="shared" si="72"/>
        <v>0</v>
      </c>
      <c r="T199" s="310">
        <f>SUM(H199:S199)</f>
        <v>0</v>
      </c>
    </row>
    <row r="200" spans="1:20">
      <c r="A200" s="1"/>
      <c r="B200" s="1"/>
      <c r="C200" s="1" t="str">
        <f>+$C$11</f>
        <v>Monthly Unit Sales Year 1</v>
      </c>
      <c r="D200" s="296"/>
      <c r="E200" s="294"/>
      <c r="F200" s="294"/>
      <c r="G200" s="294"/>
      <c r="H200" s="301"/>
      <c r="I200" s="301"/>
      <c r="J200" s="301"/>
      <c r="K200" s="301"/>
      <c r="L200" s="301"/>
      <c r="M200" s="301"/>
      <c r="N200" s="301"/>
      <c r="O200" s="301"/>
      <c r="P200" s="301"/>
      <c r="Q200" s="301"/>
      <c r="R200" s="301"/>
      <c r="S200" s="301"/>
      <c r="T200" s="233">
        <f>SUM(H200:S200)</f>
        <v>0</v>
      </c>
    </row>
    <row r="201" spans="1:20">
      <c r="A201" s="1"/>
      <c r="B201" s="1"/>
      <c r="C201" s="1" t="s">
        <v>404</v>
      </c>
      <c r="D201" s="296"/>
      <c r="E201" s="302">
        <v>0</v>
      </c>
      <c r="F201" s="303"/>
      <c r="G201" s="298"/>
      <c r="H201" s="313">
        <f>IF($E201=0,S200,ROUND((1+($E201/12))*S200,0))</f>
        <v>0</v>
      </c>
      <c r="I201" s="313">
        <f>IF($E201=0,H201,ROUND((1+($E201/12))*H201,0))</f>
        <v>0</v>
      </c>
      <c r="J201" s="313">
        <f t="shared" ref="J201:S202" si="73">IF($E201=0,I201,ROUND((1+($E201/12))*I201,0))</f>
        <v>0</v>
      </c>
      <c r="K201" s="313">
        <f t="shared" si="73"/>
        <v>0</v>
      </c>
      <c r="L201" s="313">
        <f t="shared" si="73"/>
        <v>0</v>
      </c>
      <c r="M201" s="313">
        <f t="shared" si="73"/>
        <v>0</v>
      </c>
      <c r="N201" s="313">
        <f t="shared" si="73"/>
        <v>0</v>
      </c>
      <c r="O201" s="313">
        <f t="shared" si="73"/>
        <v>0</v>
      </c>
      <c r="P201" s="313">
        <f t="shared" si="73"/>
        <v>0</v>
      </c>
      <c r="Q201" s="313">
        <f t="shared" si="73"/>
        <v>0</v>
      </c>
      <c r="R201" s="313">
        <f t="shared" si="73"/>
        <v>0</v>
      </c>
      <c r="S201" s="313">
        <f t="shared" si="73"/>
        <v>0</v>
      </c>
      <c r="T201" s="233">
        <f>SUM(H201:S201)</f>
        <v>0</v>
      </c>
    </row>
    <row r="202" spans="1:20">
      <c r="A202" s="296"/>
      <c r="B202" s="1"/>
      <c r="C202" s="1" t="s">
        <v>405</v>
      </c>
      <c r="D202" s="296"/>
      <c r="E202" s="302">
        <v>0</v>
      </c>
      <c r="F202" s="294"/>
      <c r="G202" s="298"/>
      <c r="H202" s="313">
        <f>IF($E202=0,S201,ROUND((1+($E202/12))*S201,0))</f>
        <v>0</v>
      </c>
      <c r="I202" s="313">
        <f>IF($E202=0,H202,ROUND((1+($E202/12))*H202,0))</f>
        <v>0</v>
      </c>
      <c r="J202" s="313">
        <f t="shared" si="73"/>
        <v>0</v>
      </c>
      <c r="K202" s="313">
        <f t="shared" si="73"/>
        <v>0</v>
      </c>
      <c r="L202" s="313">
        <f t="shared" si="73"/>
        <v>0</v>
      </c>
      <c r="M202" s="313">
        <f t="shared" si="73"/>
        <v>0</v>
      </c>
      <c r="N202" s="313">
        <f t="shared" si="73"/>
        <v>0</v>
      </c>
      <c r="O202" s="313">
        <f t="shared" si="73"/>
        <v>0</v>
      </c>
      <c r="P202" s="313">
        <f t="shared" si="73"/>
        <v>0</v>
      </c>
      <c r="Q202" s="313">
        <f t="shared" si="73"/>
        <v>0</v>
      </c>
      <c r="R202" s="313">
        <f t="shared" si="73"/>
        <v>0</v>
      </c>
      <c r="S202" s="313">
        <f t="shared" si="73"/>
        <v>0</v>
      </c>
      <c r="T202" s="233">
        <f>SUM(H202:S202)</f>
        <v>0</v>
      </c>
    </row>
    <row r="203" spans="1:20">
      <c r="A203" s="296"/>
      <c r="B203" s="344" t="s">
        <v>115</v>
      </c>
      <c r="C203" s="1"/>
      <c r="D203" s="296"/>
      <c r="E203" s="302"/>
      <c r="F203" s="294"/>
      <c r="G203" s="298"/>
      <c r="H203" s="304"/>
      <c r="I203" s="304"/>
      <c r="J203" s="304"/>
      <c r="K203" s="304"/>
      <c r="L203" s="304"/>
      <c r="M203" s="304"/>
      <c r="N203" s="304"/>
      <c r="O203" s="304"/>
      <c r="P203" s="304"/>
      <c r="Q203" s="304"/>
      <c r="R203" s="304"/>
      <c r="S203" s="304"/>
    </row>
    <row r="204" spans="1:20">
      <c r="A204" s="296"/>
      <c r="B204" s="1"/>
      <c r="C204" s="1"/>
      <c r="D204" s="296"/>
      <c r="E204" s="294"/>
      <c r="F204" s="294"/>
      <c r="G204" s="294"/>
      <c r="H204" s="295"/>
      <c r="I204" s="295"/>
      <c r="J204" s="295"/>
      <c r="K204" s="295"/>
      <c r="L204" s="295"/>
      <c r="M204" s="295"/>
      <c r="N204" s="295"/>
      <c r="O204" s="295"/>
      <c r="P204" s="295"/>
      <c r="Q204" s="295"/>
      <c r="R204" s="295"/>
      <c r="S204" s="295"/>
    </row>
    <row r="205" spans="1:20">
      <c r="A205" s="296"/>
      <c r="B205" s="1" t="s">
        <v>28</v>
      </c>
      <c r="C205" s="1"/>
      <c r="D205" s="296"/>
      <c r="E205" s="305">
        <f>T200*E195</f>
        <v>0</v>
      </c>
      <c r="F205" s="298"/>
      <c r="G205" s="294"/>
      <c r="H205" s="295">
        <f>+H200*$E195</f>
        <v>0</v>
      </c>
      <c r="I205" s="295">
        <f t="shared" ref="I205:S205" si="74">+I200*$E195</f>
        <v>0</v>
      </c>
      <c r="J205" s="295">
        <f t="shared" si="74"/>
        <v>0</v>
      </c>
      <c r="K205" s="295">
        <f t="shared" si="74"/>
        <v>0</v>
      </c>
      <c r="L205" s="295">
        <f t="shared" si="74"/>
        <v>0</v>
      </c>
      <c r="M205" s="295">
        <f t="shared" si="74"/>
        <v>0</v>
      </c>
      <c r="N205" s="295">
        <f t="shared" si="74"/>
        <v>0</v>
      </c>
      <c r="O205" s="295">
        <f t="shared" si="74"/>
        <v>0</v>
      </c>
      <c r="P205" s="295">
        <f t="shared" si="74"/>
        <v>0</v>
      </c>
      <c r="Q205" s="295">
        <f t="shared" si="74"/>
        <v>0</v>
      </c>
      <c r="R205" s="295">
        <f t="shared" si="74"/>
        <v>0</v>
      </c>
      <c r="S205" s="295">
        <f t="shared" si="74"/>
        <v>0</v>
      </c>
      <c r="T205" s="233">
        <f>SUM(H205:S205)</f>
        <v>0</v>
      </c>
    </row>
    <row r="206" spans="1:20">
      <c r="A206" s="296"/>
      <c r="B206" s="1" t="s">
        <v>389</v>
      </c>
      <c r="C206" s="1"/>
      <c r="D206" s="296"/>
      <c r="E206" s="306">
        <f>E196*T200</f>
        <v>0</v>
      </c>
      <c r="F206" s="298"/>
      <c r="G206" s="294"/>
      <c r="H206" s="295">
        <f>+H200*$E196</f>
        <v>0</v>
      </c>
      <c r="I206" s="295">
        <f t="shared" ref="I206:S206" si="75">+I200*$E196</f>
        <v>0</v>
      </c>
      <c r="J206" s="295">
        <f t="shared" si="75"/>
        <v>0</v>
      </c>
      <c r="K206" s="295">
        <f t="shared" si="75"/>
        <v>0</v>
      </c>
      <c r="L206" s="295">
        <f t="shared" si="75"/>
        <v>0</v>
      </c>
      <c r="M206" s="295">
        <f t="shared" si="75"/>
        <v>0</v>
      </c>
      <c r="N206" s="295">
        <f t="shared" si="75"/>
        <v>0</v>
      </c>
      <c r="O206" s="295">
        <f t="shared" si="75"/>
        <v>0</v>
      </c>
      <c r="P206" s="295">
        <f t="shared" si="75"/>
        <v>0</v>
      </c>
      <c r="Q206" s="295">
        <f t="shared" si="75"/>
        <v>0</v>
      </c>
      <c r="R206" s="295">
        <f t="shared" si="75"/>
        <v>0</v>
      </c>
      <c r="S206" s="295">
        <f t="shared" si="75"/>
        <v>0</v>
      </c>
      <c r="T206" s="233">
        <f>SUM(H206:S206)</f>
        <v>0</v>
      </c>
    </row>
    <row r="207" spans="1:20">
      <c r="A207" s="1"/>
      <c r="B207" s="356"/>
      <c r="C207" s="334" t="s">
        <v>409</v>
      </c>
      <c r="D207" s="356"/>
      <c r="E207" s="306"/>
      <c r="F207" s="298"/>
      <c r="G207" s="294"/>
      <c r="H207" s="365">
        <f>+H200*($E$196-'4.Cost of Goods-Svcs Sold'!$K$35)</f>
        <v>0</v>
      </c>
      <c r="I207" s="365">
        <f>+I200*($E$196-'4.Cost of Goods-Svcs Sold'!$K$35)</f>
        <v>0</v>
      </c>
      <c r="J207" s="365">
        <f>+J200*($E$196-'4.Cost of Goods-Svcs Sold'!$K$35)</f>
        <v>0</v>
      </c>
      <c r="K207" s="365">
        <f>+K200*($E$196-'4.Cost of Goods-Svcs Sold'!$K$35)</f>
        <v>0</v>
      </c>
      <c r="L207" s="365">
        <f>+L200*($E$196-'4.Cost of Goods-Svcs Sold'!$K$35)</f>
        <v>0</v>
      </c>
      <c r="M207" s="365">
        <f>+M200*($E$196-'4.Cost of Goods-Svcs Sold'!$K$35)</f>
        <v>0</v>
      </c>
      <c r="N207" s="365">
        <f>+N200*($E$196-'4.Cost of Goods-Svcs Sold'!$K$35)</f>
        <v>0</v>
      </c>
      <c r="O207" s="365">
        <f>+O200*($E$196-'4.Cost of Goods-Svcs Sold'!$K$35)</f>
        <v>0</v>
      </c>
      <c r="P207" s="365">
        <f>+P200*($E$196-'4.Cost of Goods-Svcs Sold'!$K$35)</f>
        <v>0</v>
      </c>
      <c r="Q207" s="365">
        <f>+Q200*($E$196-'4.Cost of Goods-Svcs Sold'!$K$35)</f>
        <v>0</v>
      </c>
      <c r="R207" s="365">
        <f>+R200*($E$196-'4.Cost of Goods-Svcs Sold'!$K$35)</f>
        <v>0</v>
      </c>
      <c r="S207" s="365">
        <f>+S200*($E$196-'4.Cost of Goods-Svcs Sold'!$K$35)</f>
        <v>0</v>
      </c>
    </row>
    <row r="208" spans="1:20">
      <c r="A208" s="1"/>
      <c r="B208" s="1" t="s">
        <v>30</v>
      </c>
      <c r="C208" s="1"/>
      <c r="D208" s="296"/>
      <c r="E208" s="306"/>
      <c r="F208" s="298"/>
      <c r="G208" s="298"/>
      <c r="H208" s="295">
        <f>+H201*$E195</f>
        <v>0</v>
      </c>
      <c r="I208" s="295">
        <f t="shared" ref="I208:S208" si="76">+I201*$E195</f>
        <v>0</v>
      </c>
      <c r="J208" s="295">
        <f t="shared" si="76"/>
        <v>0</v>
      </c>
      <c r="K208" s="295">
        <f t="shared" si="76"/>
        <v>0</v>
      </c>
      <c r="L208" s="295">
        <f t="shared" si="76"/>
        <v>0</v>
      </c>
      <c r="M208" s="295">
        <f t="shared" si="76"/>
        <v>0</v>
      </c>
      <c r="N208" s="295">
        <f t="shared" si="76"/>
        <v>0</v>
      </c>
      <c r="O208" s="295">
        <f t="shared" si="76"/>
        <v>0</v>
      </c>
      <c r="P208" s="295">
        <f t="shared" si="76"/>
        <v>0</v>
      </c>
      <c r="Q208" s="295">
        <f t="shared" si="76"/>
        <v>0</v>
      </c>
      <c r="R208" s="295">
        <f t="shared" si="76"/>
        <v>0</v>
      </c>
      <c r="S208" s="295">
        <f t="shared" si="76"/>
        <v>0</v>
      </c>
      <c r="T208" s="233">
        <f>SUM(H208:S208)</f>
        <v>0</v>
      </c>
    </row>
    <row r="209" spans="1:20">
      <c r="A209" s="1"/>
      <c r="B209" s="1" t="s">
        <v>390</v>
      </c>
      <c r="C209" s="1"/>
      <c r="D209" s="296"/>
      <c r="E209" s="306"/>
      <c r="F209" s="298"/>
      <c r="G209" s="298"/>
      <c r="H209" s="295">
        <f>+H201*$E196</f>
        <v>0</v>
      </c>
      <c r="I209" s="295">
        <f t="shared" ref="I209:S209" si="77">+I201*$E196</f>
        <v>0</v>
      </c>
      <c r="J209" s="295">
        <f t="shared" si="77"/>
        <v>0</v>
      </c>
      <c r="K209" s="295">
        <f t="shared" si="77"/>
        <v>0</v>
      </c>
      <c r="L209" s="295">
        <f t="shared" si="77"/>
        <v>0</v>
      </c>
      <c r="M209" s="295">
        <f t="shared" si="77"/>
        <v>0</v>
      </c>
      <c r="N209" s="295">
        <f t="shared" si="77"/>
        <v>0</v>
      </c>
      <c r="O209" s="295">
        <f t="shared" si="77"/>
        <v>0</v>
      </c>
      <c r="P209" s="295">
        <f t="shared" si="77"/>
        <v>0</v>
      </c>
      <c r="Q209" s="295">
        <f t="shared" si="77"/>
        <v>0</v>
      </c>
      <c r="R209" s="295">
        <f t="shared" si="77"/>
        <v>0</v>
      </c>
      <c r="S209" s="295">
        <f t="shared" si="77"/>
        <v>0</v>
      </c>
      <c r="T209" s="233">
        <f>SUM(H209:S209)</f>
        <v>0</v>
      </c>
    </row>
    <row r="210" spans="1:20">
      <c r="A210" s="1"/>
      <c r="B210" s="334"/>
      <c r="C210" s="334" t="s">
        <v>409</v>
      </c>
      <c r="D210" s="356"/>
      <c r="E210" s="294"/>
      <c r="F210" s="294"/>
      <c r="G210" s="294"/>
      <c r="H210" s="365">
        <f>+H201*($E$196-'4.Cost of Goods-Svcs Sold'!$K$35)</f>
        <v>0</v>
      </c>
      <c r="I210" s="365">
        <f>+I201*($E$196-'4.Cost of Goods-Svcs Sold'!$K$35)</f>
        <v>0</v>
      </c>
      <c r="J210" s="365">
        <f>+J201*($E$196-'4.Cost of Goods-Svcs Sold'!$K$35)</f>
        <v>0</v>
      </c>
      <c r="K210" s="365">
        <f>+K201*($E$196-'4.Cost of Goods-Svcs Sold'!$K$35)</f>
        <v>0</v>
      </c>
      <c r="L210" s="365">
        <f>+L201*($E$196-'4.Cost of Goods-Svcs Sold'!$K$35)</f>
        <v>0</v>
      </c>
      <c r="M210" s="365">
        <f>+M201*($E$196-'4.Cost of Goods-Svcs Sold'!$K$35)</f>
        <v>0</v>
      </c>
      <c r="N210" s="365">
        <f>+N201*($E$196-'4.Cost of Goods-Svcs Sold'!$K$35)</f>
        <v>0</v>
      </c>
      <c r="O210" s="365">
        <f>+O201*($E$196-'4.Cost of Goods-Svcs Sold'!$K$35)</f>
        <v>0</v>
      </c>
      <c r="P210" s="365">
        <f>+P201*($E$196-'4.Cost of Goods-Svcs Sold'!$K$35)</f>
        <v>0</v>
      </c>
      <c r="Q210" s="365">
        <f>+Q201*($E$196-'4.Cost of Goods-Svcs Sold'!$K$35)</f>
        <v>0</v>
      </c>
      <c r="R210" s="365">
        <f>+R201*($E$196-'4.Cost of Goods-Svcs Sold'!$K$35)</f>
        <v>0</v>
      </c>
      <c r="S210" s="365">
        <f>+S201*($E$196-'4.Cost of Goods-Svcs Sold'!$K$35)</f>
        <v>0</v>
      </c>
    </row>
    <row r="211" spans="1:20">
      <c r="A211" s="1"/>
      <c r="B211" s="1" t="s">
        <v>32</v>
      </c>
      <c r="C211" s="1"/>
      <c r="D211" s="296"/>
      <c r="E211" s="307"/>
      <c r="F211" s="294"/>
      <c r="G211" s="294"/>
      <c r="H211" s="295">
        <f>+H202*$E195</f>
        <v>0</v>
      </c>
      <c r="I211" s="295">
        <f t="shared" ref="I211:S211" si="78">+I202*$E195</f>
        <v>0</v>
      </c>
      <c r="J211" s="295">
        <f t="shared" si="78"/>
        <v>0</v>
      </c>
      <c r="K211" s="295">
        <f t="shared" si="78"/>
        <v>0</v>
      </c>
      <c r="L211" s="295">
        <f t="shared" si="78"/>
        <v>0</v>
      </c>
      <c r="M211" s="295">
        <f t="shared" si="78"/>
        <v>0</v>
      </c>
      <c r="N211" s="295">
        <f t="shared" si="78"/>
        <v>0</v>
      </c>
      <c r="O211" s="295">
        <f t="shared" si="78"/>
        <v>0</v>
      </c>
      <c r="P211" s="295">
        <f t="shared" si="78"/>
        <v>0</v>
      </c>
      <c r="Q211" s="295">
        <f t="shared" si="78"/>
        <v>0</v>
      </c>
      <c r="R211" s="295">
        <f t="shared" si="78"/>
        <v>0</v>
      </c>
      <c r="S211" s="295">
        <f t="shared" si="78"/>
        <v>0</v>
      </c>
      <c r="T211" s="233">
        <f>SUM(H211:S211)</f>
        <v>0</v>
      </c>
    </row>
    <row r="212" spans="1:20">
      <c r="A212" s="1"/>
      <c r="B212" s="1" t="s">
        <v>391</v>
      </c>
      <c r="C212" s="1"/>
      <c r="D212" s="296"/>
      <c r="E212" s="308"/>
      <c r="F212" s="298"/>
      <c r="G212" s="298"/>
      <c r="H212" s="295">
        <f>+H202*$E196</f>
        <v>0</v>
      </c>
      <c r="I212" s="295">
        <f t="shared" ref="I212:S212" si="79">+I202*$E196</f>
        <v>0</v>
      </c>
      <c r="J212" s="295">
        <f t="shared" si="79"/>
        <v>0</v>
      </c>
      <c r="K212" s="295">
        <f t="shared" si="79"/>
        <v>0</v>
      </c>
      <c r="L212" s="295">
        <f t="shared" si="79"/>
        <v>0</v>
      </c>
      <c r="M212" s="295">
        <f t="shared" si="79"/>
        <v>0</v>
      </c>
      <c r="N212" s="295">
        <f t="shared" si="79"/>
        <v>0</v>
      </c>
      <c r="O212" s="295">
        <f t="shared" si="79"/>
        <v>0</v>
      </c>
      <c r="P212" s="295">
        <f t="shared" si="79"/>
        <v>0</v>
      </c>
      <c r="Q212" s="295">
        <f t="shared" si="79"/>
        <v>0</v>
      </c>
      <c r="R212" s="295">
        <f t="shared" si="79"/>
        <v>0</v>
      </c>
      <c r="S212" s="295">
        <f t="shared" si="79"/>
        <v>0</v>
      </c>
      <c r="T212" s="233">
        <f>SUM(H212:S212)</f>
        <v>0</v>
      </c>
    </row>
    <row r="213" spans="1:20">
      <c r="A213" s="1"/>
      <c r="B213" s="356"/>
      <c r="C213" s="334" t="s">
        <v>409</v>
      </c>
      <c r="D213" s="356"/>
      <c r="E213" s="308"/>
      <c r="F213" s="298"/>
      <c r="G213" s="298"/>
      <c r="H213" s="365">
        <f>+H202*($E$196-'4.Cost of Goods-Svcs Sold'!$K$35)</f>
        <v>0</v>
      </c>
      <c r="I213" s="365">
        <f>+I202*($E$196-'4.Cost of Goods-Svcs Sold'!$K$35)</f>
        <v>0</v>
      </c>
      <c r="J213" s="365">
        <f>+J202*($E$196-'4.Cost of Goods-Svcs Sold'!$K$35)</f>
        <v>0</v>
      </c>
      <c r="K213" s="365">
        <f>+K202*($E$196-'4.Cost of Goods-Svcs Sold'!$K$35)</f>
        <v>0</v>
      </c>
      <c r="L213" s="365">
        <f>+L202*($E$196-'4.Cost of Goods-Svcs Sold'!$K$35)</f>
        <v>0</v>
      </c>
      <c r="M213" s="365">
        <f>+M202*($E$196-'4.Cost of Goods-Svcs Sold'!$K$35)</f>
        <v>0</v>
      </c>
      <c r="N213" s="365">
        <f>+N202*($E$196-'4.Cost of Goods-Svcs Sold'!$K$35)</f>
        <v>0</v>
      </c>
      <c r="O213" s="365">
        <f>+O202*($E$196-'4.Cost of Goods-Svcs Sold'!$K$35)</f>
        <v>0</v>
      </c>
      <c r="P213" s="365">
        <f>+P202*($E$196-'4.Cost of Goods-Svcs Sold'!$K$35)</f>
        <v>0</v>
      </c>
      <c r="Q213" s="365">
        <f>+Q202*($E$196-'4.Cost of Goods-Svcs Sold'!$K$35)</f>
        <v>0</v>
      </c>
      <c r="R213" s="365">
        <f>+R202*($E$196-'4.Cost of Goods-Svcs Sold'!$K$35)</f>
        <v>0</v>
      </c>
      <c r="S213" s="365">
        <f>+S202*($E$196-'4.Cost of Goods-Svcs Sold'!$K$35)</f>
        <v>0</v>
      </c>
    </row>
    <row r="214" spans="1:20">
      <c r="A214" s="1"/>
      <c r="B214" s="1"/>
      <c r="C214" s="1"/>
      <c r="D214" s="296"/>
      <c r="E214" s="308"/>
      <c r="F214" s="298"/>
      <c r="G214" s="298"/>
      <c r="H214" s="295"/>
      <c r="I214" s="295"/>
      <c r="J214" s="295"/>
      <c r="K214" s="295"/>
      <c r="L214" s="295"/>
      <c r="M214" s="295"/>
      <c r="N214" s="295"/>
      <c r="O214" s="295"/>
      <c r="P214" s="295"/>
      <c r="Q214" s="295"/>
      <c r="R214" s="295"/>
      <c r="S214" s="295"/>
    </row>
    <row r="215" spans="1:20">
      <c r="A215" s="225" t="str">
        <f>+'4.Cost of Goods-Svcs Sold'!A44</f>
        <v>Product/Service 17</v>
      </c>
      <c r="B215" s="225"/>
      <c r="C215" s="225"/>
      <c r="D215" s="225"/>
      <c r="E215" s="294"/>
      <c r="F215" s="294"/>
      <c r="G215" s="294"/>
      <c r="H215" s="295"/>
      <c r="I215" s="295"/>
      <c r="J215" s="295"/>
      <c r="K215" s="295"/>
      <c r="L215" s="295"/>
      <c r="M215" s="295"/>
      <c r="N215" s="295"/>
      <c r="O215" s="295"/>
      <c r="P215" s="295"/>
      <c r="Q215" s="295"/>
      <c r="R215" s="295"/>
      <c r="S215" s="295"/>
    </row>
    <row r="216" spans="1:20">
      <c r="A216" s="1"/>
      <c r="B216" s="1" t="s">
        <v>276</v>
      </c>
      <c r="C216" s="1"/>
      <c r="D216" s="296"/>
      <c r="E216" s="297"/>
      <c r="F216" s="298">
        <v>1</v>
      </c>
      <c r="G216" s="298"/>
      <c r="H216" s="295"/>
      <c r="I216" s="295"/>
      <c r="J216" s="295"/>
      <c r="K216" s="295"/>
      <c r="L216" s="295"/>
      <c r="M216" s="295"/>
      <c r="N216" s="295"/>
      <c r="O216" s="295"/>
      <c r="P216" s="295"/>
      <c r="Q216" s="295"/>
      <c r="R216" s="295"/>
      <c r="S216" s="295"/>
    </row>
    <row r="217" spans="1:20">
      <c r="A217" s="1"/>
      <c r="B217" s="1" t="s">
        <v>403</v>
      </c>
      <c r="C217" s="1"/>
      <c r="D217" s="296"/>
      <c r="E217" s="397">
        <f>+'4.Cost of Goods-Svcs Sold'!B51</f>
        <v>0</v>
      </c>
      <c r="F217" s="299">
        <f>IF(E216&gt;0,E217/E216,0)</f>
        <v>0</v>
      </c>
      <c r="G217" s="298"/>
      <c r="H217" s="295"/>
      <c r="I217" s="295"/>
      <c r="J217" s="295"/>
      <c r="K217" s="295"/>
      <c r="L217" s="295"/>
      <c r="M217" s="295"/>
      <c r="N217" s="295"/>
      <c r="O217" s="295"/>
      <c r="P217" s="295"/>
      <c r="Q217" s="295"/>
      <c r="R217" s="295"/>
      <c r="S217" s="295"/>
    </row>
    <row r="218" spans="1:20">
      <c r="A218" s="1"/>
      <c r="B218" s="1" t="s">
        <v>289</v>
      </c>
      <c r="C218" s="1"/>
      <c r="D218" s="296"/>
      <c r="E218" s="300">
        <f>E216-E217</f>
        <v>0</v>
      </c>
      <c r="F218" s="298">
        <f>IF(E216&gt;0,E218/E216,0)</f>
        <v>0</v>
      </c>
      <c r="G218" s="298"/>
      <c r="H218" s="295"/>
      <c r="I218" s="295"/>
      <c r="J218" s="295"/>
      <c r="K218" s="295"/>
      <c r="L218" s="295"/>
      <c r="M218" s="295"/>
      <c r="N218" s="295"/>
      <c r="O218" s="295"/>
      <c r="P218" s="295"/>
      <c r="Q218" s="295"/>
      <c r="R218" s="295"/>
      <c r="S218" s="295"/>
    </row>
    <row r="219" spans="1:20">
      <c r="A219" s="1"/>
      <c r="B219" s="1" t="s">
        <v>282</v>
      </c>
      <c r="C219" s="1"/>
      <c r="D219" s="296"/>
      <c r="E219" s="294"/>
      <c r="F219" s="294"/>
      <c r="G219" s="294"/>
      <c r="H219" s="295"/>
      <c r="I219" s="295"/>
      <c r="J219" s="295"/>
      <c r="K219" s="295"/>
      <c r="L219" s="295"/>
      <c r="M219" s="295"/>
      <c r="N219" s="295"/>
      <c r="O219" s="295"/>
      <c r="P219" s="295"/>
      <c r="Q219" s="295"/>
      <c r="R219" s="295"/>
      <c r="S219" s="295"/>
    </row>
    <row r="220" spans="1:20" ht="12.75" thickBot="1">
      <c r="A220" s="1"/>
      <c r="B220" s="1"/>
      <c r="C220" s="1" t="s">
        <v>287</v>
      </c>
      <c r="D220" s="296"/>
      <c r="E220" s="294"/>
      <c r="F220" s="294"/>
      <c r="G220" s="294"/>
      <c r="H220" s="309">
        <f t="shared" ref="H220:S220" si="80">IF(H221=0,0,H221/$T221)</f>
        <v>0</v>
      </c>
      <c r="I220" s="309">
        <f t="shared" si="80"/>
        <v>0</v>
      </c>
      <c r="J220" s="309">
        <f t="shared" si="80"/>
        <v>0</v>
      </c>
      <c r="K220" s="309">
        <f t="shared" si="80"/>
        <v>0</v>
      </c>
      <c r="L220" s="309">
        <f t="shared" si="80"/>
        <v>0</v>
      </c>
      <c r="M220" s="309">
        <f t="shared" si="80"/>
        <v>0</v>
      </c>
      <c r="N220" s="309">
        <f t="shared" si="80"/>
        <v>0</v>
      </c>
      <c r="O220" s="309">
        <f t="shared" si="80"/>
        <v>0</v>
      </c>
      <c r="P220" s="309">
        <f t="shared" si="80"/>
        <v>0</v>
      </c>
      <c r="Q220" s="309">
        <f t="shared" si="80"/>
        <v>0</v>
      </c>
      <c r="R220" s="309">
        <f t="shared" si="80"/>
        <v>0</v>
      </c>
      <c r="S220" s="309">
        <f t="shared" si="80"/>
        <v>0</v>
      </c>
      <c r="T220" s="310">
        <f>SUM(H220:S220)</f>
        <v>0</v>
      </c>
    </row>
    <row r="221" spans="1:20">
      <c r="A221" s="1"/>
      <c r="B221" s="1"/>
      <c r="C221" s="1" t="str">
        <f>+$C$11</f>
        <v>Monthly Unit Sales Year 1</v>
      </c>
      <c r="D221" s="296"/>
      <c r="E221" s="294"/>
      <c r="F221" s="294"/>
      <c r="G221" s="294"/>
      <c r="H221" s="301"/>
      <c r="I221" s="301"/>
      <c r="J221" s="301"/>
      <c r="K221" s="301"/>
      <c r="L221" s="301"/>
      <c r="M221" s="301"/>
      <c r="N221" s="301"/>
      <c r="O221" s="301"/>
      <c r="P221" s="301"/>
      <c r="Q221" s="301"/>
      <c r="R221" s="301"/>
      <c r="S221" s="301"/>
      <c r="T221" s="233">
        <f>SUM(H221:S221)</f>
        <v>0</v>
      </c>
    </row>
    <row r="222" spans="1:20">
      <c r="A222" s="1"/>
      <c r="B222" s="1"/>
      <c r="C222" s="1" t="s">
        <v>404</v>
      </c>
      <c r="D222" s="296"/>
      <c r="E222" s="302">
        <v>1</v>
      </c>
      <c r="F222" s="303"/>
      <c r="G222" s="298"/>
      <c r="H222" s="313">
        <f>IF($E222=0,S221,ROUND((1+($E222/12))*S221,0))</f>
        <v>0</v>
      </c>
      <c r="I222" s="313">
        <f>IF($E222=0,H222,ROUND((1+($E222/12))*H222,0))</f>
        <v>0</v>
      </c>
      <c r="J222" s="313">
        <f t="shared" ref="J222:S223" si="81">IF($E222=0,I222,ROUND((1+($E222/12))*I222,0))</f>
        <v>0</v>
      </c>
      <c r="K222" s="313">
        <f t="shared" si="81"/>
        <v>0</v>
      </c>
      <c r="L222" s="313">
        <f t="shared" si="81"/>
        <v>0</v>
      </c>
      <c r="M222" s="313">
        <f t="shared" si="81"/>
        <v>0</v>
      </c>
      <c r="N222" s="313">
        <f t="shared" si="81"/>
        <v>0</v>
      </c>
      <c r="O222" s="313">
        <f t="shared" si="81"/>
        <v>0</v>
      </c>
      <c r="P222" s="313">
        <f t="shared" si="81"/>
        <v>0</v>
      </c>
      <c r="Q222" s="313">
        <f t="shared" si="81"/>
        <v>0</v>
      </c>
      <c r="R222" s="313">
        <f t="shared" si="81"/>
        <v>0</v>
      </c>
      <c r="S222" s="313">
        <f t="shared" si="81"/>
        <v>0</v>
      </c>
      <c r="T222" s="233">
        <f>SUM(H222:S222)</f>
        <v>0</v>
      </c>
    </row>
    <row r="223" spans="1:20">
      <c r="A223" s="296"/>
      <c r="B223" s="1"/>
      <c r="C223" s="1" t="s">
        <v>405</v>
      </c>
      <c r="D223" s="296"/>
      <c r="E223" s="302">
        <v>0</v>
      </c>
      <c r="F223" s="294"/>
      <c r="G223" s="298"/>
      <c r="H223" s="313">
        <f>IF($E223=0,S222,ROUND((1+($E223/12))*S222,0))</f>
        <v>0</v>
      </c>
      <c r="I223" s="313">
        <f>IF($E223=0,H223,ROUND((1+($E223/12))*H223,0))</f>
        <v>0</v>
      </c>
      <c r="J223" s="313">
        <f t="shared" si="81"/>
        <v>0</v>
      </c>
      <c r="K223" s="313">
        <f t="shared" si="81"/>
        <v>0</v>
      </c>
      <c r="L223" s="313">
        <f t="shared" si="81"/>
        <v>0</v>
      </c>
      <c r="M223" s="313">
        <f t="shared" si="81"/>
        <v>0</v>
      </c>
      <c r="N223" s="313">
        <f t="shared" si="81"/>
        <v>0</v>
      </c>
      <c r="O223" s="313">
        <f t="shared" si="81"/>
        <v>0</v>
      </c>
      <c r="P223" s="313">
        <f t="shared" si="81"/>
        <v>0</v>
      </c>
      <c r="Q223" s="313">
        <f t="shared" si="81"/>
        <v>0</v>
      </c>
      <c r="R223" s="313">
        <f t="shared" si="81"/>
        <v>0</v>
      </c>
      <c r="S223" s="313">
        <f t="shared" si="81"/>
        <v>0</v>
      </c>
      <c r="T223" s="233">
        <f>SUM(H223:S223)</f>
        <v>0</v>
      </c>
    </row>
    <row r="224" spans="1:20">
      <c r="A224" s="296"/>
      <c r="B224" s="344" t="s">
        <v>115</v>
      </c>
      <c r="C224" s="1"/>
      <c r="D224" s="296"/>
      <c r="E224" s="302"/>
      <c r="F224" s="294"/>
      <c r="G224" s="298"/>
      <c r="H224" s="304"/>
      <c r="I224" s="304"/>
      <c r="J224" s="304"/>
      <c r="K224" s="304"/>
      <c r="L224" s="304"/>
      <c r="M224" s="304"/>
      <c r="N224" s="304"/>
      <c r="O224" s="304"/>
      <c r="P224" s="304"/>
      <c r="Q224" s="304"/>
      <c r="R224" s="304"/>
      <c r="S224" s="304"/>
    </row>
    <row r="225" spans="1:20">
      <c r="A225" s="296"/>
      <c r="B225" s="1"/>
      <c r="C225" s="1"/>
      <c r="D225" s="296"/>
      <c r="E225" s="294"/>
      <c r="F225" s="294"/>
      <c r="G225" s="294"/>
      <c r="H225" s="295"/>
      <c r="I225" s="295"/>
      <c r="J225" s="295"/>
      <c r="K225" s="295"/>
      <c r="L225" s="295"/>
      <c r="M225" s="295"/>
      <c r="N225" s="295"/>
      <c r="O225" s="295"/>
      <c r="P225" s="295"/>
      <c r="Q225" s="295"/>
      <c r="R225" s="295"/>
      <c r="S225" s="295"/>
    </row>
    <row r="226" spans="1:20">
      <c r="A226" s="296"/>
      <c r="B226" s="1" t="s">
        <v>28</v>
      </c>
      <c r="C226" s="1"/>
      <c r="D226" s="296"/>
      <c r="E226" s="305">
        <f>T221*E216</f>
        <v>0</v>
      </c>
      <c r="F226" s="298"/>
      <c r="G226" s="294"/>
      <c r="H226" s="295">
        <f>+H221*$E216</f>
        <v>0</v>
      </c>
      <c r="I226" s="295">
        <f t="shared" ref="I226:S226" si="82">+I221*$E216</f>
        <v>0</v>
      </c>
      <c r="J226" s="295">
        <f t="shared" si="82"/>
        <v>0</v>
      </c>
      <c r="K226" s="295">
        <f t="shared" si="82"/>
        <v>0</v>
      </c>
      <c r="L226" s="295">
        <f t="shared" si="82"/>
        <v>0</v>
      </c>
      <c r="M226" s="295">
        <f t="shared" si="82"/>
        <v>0</v>
      </c>
      <c r="N226" s="295">
        <f t="shared" si="82"/>
        <v>0</v>
      </c>
      <c r="O226" s="295">
        <f t="shared" si="82"/>
        <v>0</v>
      </c>
      <c r="P226" s="295">
        <f t="shared" si="82"/>
        <v>0</v>
      </c>
      <c r="Q226" s="295">
        <f t="shared" si="82"/>
        <v>0</v>
      </c>
      <c r="R226" s="295">
        <f t="shared" si="82"/>
        <v>0</v>
      </c>
      <c r="S226" s="295">
        <f t="shared" si="82"/>
        <v>0</v>
      </c>
      <c r="T226" s="233">
        <f>SUM(H226:S226)</f>
        <v>0</v>
      </c>
    </row>
    <row r="227" spans="1:20">
      <c r="A227" s="296"/>
      <c r="B227" s="1" t="s">
        <v>389</v>
      </c>
      <c r="C227" s="1"/>
      <c r="D227" s="296"/>
      <c r="E227" s="306">
        <f>E217*T221</f>
        <v>0</v>
      </c>
      <c r="F227" s="298"/>
      <c r="G227" s="294"/>
      <c r="H227" s="295">
        <f>+H221*$E217</f>
        <v>0</v>
      </c>
      <c r="I227" s="295">
        <f t="shared" ref="I227:S227" si="83">+I221*$E217</f>
        <v>0</v>
      </c>
      <c r="J227" s="295">
        <f t="shared" si="83"/>
        <v>0</v>
      </c>
      <c r="K227" s="295">
        <f t="shared" si="83"/>
        <v>0</v>
      </c>
      <c r="L227" s="295">
        <f t="shared" si="83"/>
        <v>0</v>
      </c>
      <c r="M227" s="295">
        <f t="shared" si="83"/>
        <v>0</v>
      </c>
      <c r="N227" s="295">
        <f t="shared" si="83"/>
        <v>0</v>
      </c>
      <c r="O227" s="295">
        <f t="shared" si="83"/>
        <v>0</v>
      </c>
      <c r="P227" s="295">
        <f t="shared" si="83"/>
        <v>0</v>
      </c>
      <c r="Q227" s="295">
        <f t="shared" si="83"/>
        <v>0</v>
      </c>
      <c r="R227" s="295">
        <f t="shared" si="83"/>
        <v>0</v>
      </c>
      <c r="S227" s="295">
        <f t="shared" si="83"/>
        <v>0</v>
      </c>
      <c r="T227" s="233">
        <f>SUM(H227:S227)</f>
        <v>0</v>
      </c>
    </row>
    <row r="228" spans="1:20">
      <c r="A228" s="1"/>
      <c r="B228" s="356"/>
      <c r="C228" s="334" t="s">
        <v>409</v>
      </c>
      <c r="D228" s="356"/>
      <c r="E228" s="306"/>
      <c r="F228" s="298"/>
      <c r="G228" s="294"/>
      <c r="H228" s="365">
        <f>+H221*($E$217-'4.Cost of Goods-Svcs Sold'!$B$45)</f>
        <v>0</v>
      </c>
      <c r="I228" s="365">
        <f>+I221*($E$217-'4.Cost of Goods-Svcs Sold'!$B$45)</f>
        <v>0</v>
      </c>
      <c r="J228" s="365">
        <f>+J221*($E$217-'4.Cost of Goods-Svcs Sold'!$B$45)</f>
        <v>0</v>
      </c>
      <c r="K228" s="365">
        <f>+K221*($E$217-'4.Cost of Goods-Svcs Sold'!$B$45)</f>
        <v>0</v>
      </c>
      <c r="L228" s="365">
        <f>+L221*($E$217-'4.Cost of Goods-Svcs Sold'!$B$45)</f>
        <v>0</v>
      </c>
      <c r="M228" s="365">
        <f>+M221*($E$217-'4.Cost of Goods-Svcs Sold'!$B$45)</f>
        <v>0</v>
      </c>
      <c r="N228" s="365">
        <f>+N221*($E$217-'4.Cost of Goods-Svcs Sold'!$B$45)</f>
        <v>0</v>
      </c>
      <c r="O228" s="365">
        <f>+O221*($E$217-'4.Cost of Goods-Svcs Sold'!$B$45)</f>
        <v>0</v>
      </c>
      <c r="P228" s="365">
        <f>+P221*($E$217-'4.Cost of Goods-Svcs Sold'!$B$45)</f>
        <v>0</v>
      </c>
      <c r="Q228" s="365">
        <f>+Q221*($E$217-'4.Cost of Goods-Svcs Sold'!$B$45)</f>
        <v>0</v>
      </c>
      <c r="R228" s="365">
        <f>+R221*($E$217-'4.Cost of Goods-Svcs Sold'!$B$45)</f>
        <v>0</v>
      </c>
      <c r="S228" s="365">
        <f>+S221*($E$217-'4.Cost of Goods-Svcs Sold'!$B$45)</f>
        <v>0</v>
      </c>
    </row>
    <row r="229" spans="1:20">
      <c r="A229" s="1"/>
      <c r="B229" s="1" t="s">
        <v>30</v>
      </c>
      <c r="C229" s="1"/>
      <c r="D229" s="296"/>
      <c r="E229" s="306"/>
      <c r="F229" s="298"/>
      <c r="G229" s="298"/>
      <c r="H229" s="295">
        <f>+H222*$E216</f>
        <v>0</v>
      </c>
      <c r="I229" s="295">
        <f t="shared" ref="I229:S229" si="84">+I222*$E216</f>
        <v>0</v>
      </c>
      <c r="J229" s="295">
        <f t="shared" si="84"/>
        <v>0</v>
      </c>
      <c r="K229" s="295">
        <f t="shared" si="84"/>
        <v>0</v>
      </c>
      <c r="L229" s="295">
        <f t="shared" si="84"/>
        <v>0</v>
      </c>
      <c r="M229" s="295">
        <f t="shared" si="84"/>
        <v>0</v>
      </c>
      <c r="N229" s="295">
        <f t="shared" si="84"/>
        <v>0</v>
      </c>
      <c r="O229" s="295">
        <f t="shared" si="84"/>
        <v>0</v>
      </c>
      <c r="P229" s="295">
        <f t="shared" si="84"/>
        <v>0</v>
      </c>
      <c r="Q229" s="295">
        <f t="shared" si="84"/>
        <v>0</v>
      </c>
      <c r="R229" s="295">
        <f t="shared" si="84"/>
        <v>0</v>
      </c>
      <c r="S229" s="295">
        <f t="shared" si="84"/>
        <v>0</v>
      </c>
      <c r="T229" s="233">
        <f>SUM(H229:S229)</f>
        <v>0</v>
      </c>
    </row>
    <row r="230" spans="1:20">
      <c r="A230" s="1"/>
      <c r="B230" s="1" t="s">
        <v>390</v>
      </c>
      <c r="C230" s="1"/>
      <c r="D230" s="296"/>
      <c r="E230" s="306"/>
      <c r="F230" s="298"/>
      <c r="G230" s="298"/>
      <c r="H230" s="295">
        <f>+H222*$E217</f>
        <v>0</v>
      </c>
      <c r="I230" s="295">
        <f t="shared" ref="I230:S230" si="85">+I222*$E217</f>
        <v>0</v>
      </c>
      <c r="J230" s="295">
        <f t="shared" si="85"/>
        <v>0</v>
      </c>
      <c r="K230" s="295">
        <f t="shared" si="85"/>
        <v>0</v>
      </c>
      <c r="L230" s="295">
        <f t="shared" si="85"/>
        <v>0</v>
      </c>
      <c r="M230" s="295">
        <f t="shared" si="85"/>
        <v>0</v>
      </c>
      <c r="N230" s="295">
        <f t="shared" si="85"/>
        <v>0</v>
      </c>
      <c r="O230" s="295">
        <f t="shared" si="85"/>
        <v>0</v>
      </c>
      <c r="P230" s="295">
        <f t="shared" si="85"/>
        <v>0</v>
      </c>
      <c r="Q230" s="295">
        <f t="shared" si="85"/>
        <v>0</v>
      </c>
      <c r="R230" s="295">
        <f t="shared" si="85"/>
        <v>0</v>
      </c>
      <c r="S230" s="295">
        <f t="shared" si="85"/>
        <v>0</v>
      </c>
      <c r="T230" s="233">
        <f>SUM(H230:S230)</f>
        <v>0</v>
      </c>
    </row>
    <row r="231" spans="1:20">
      <c r="A231" s="1"/>
      <c r="B231" s="334"/>
      <c r="C231" s="334" t="s">
        <v>409</v>
      </c>
      <c r="D231" s="356"/>
      <c r="E231" s="294"/>
      <c r="F231" s="294"/>
      <c r="G231" s="294"/>
      <c r="H231" s="365">
        <f>+H222*($E$217-'4.Cost of Goods-Svcs Sold'!$B$45)</f>
        <v>0</v>
      </c>
      <c r="I231" s="365">
        <f>+I222*($E$217-'4.Cost of Goods-Svcs Sold'!$B$45)</f>
        <v>0</v>
      </c>
      <c r="J231" s="365">
        <f>+J222*($E$217-'4.Cost of Goods-Svcs Sold'!$B$45)</f>
        <v>0</v>
      </c>
      <c r="K231" s="365">
        <f>+K222*($E$217-'4.Cost of Goods-Svcs Sold'!$B$45)</f>
        <v>0</v>
      </c>
      <c r="L231" s="365">
        <f>+L222*($E$217-'4.Cost of Goods-Svcs Sold'!$B$45)</f>
        <v>0</v>
      </c>
      <c r="M231" s="365">
        <f>+M222*($E$217-'4.Cost of Goods-Svcs Sold'!$B$45)</f>
        <v>0</v>
      </c>
      <c r="N231" s="365">
        <f>+N222*($E$217-'4.Cost of Goods-Svcs Sold'!$B$45)</f>
        <v>0</v>
      </c>
      <c r="O231" s="365">
        <f>+O222*($E$217-'4.Cost of Goods-Svcs Sold'!$B$45)</f>
        <v>0</v>
      </c>
      <c r="P231" s="365">
        <f>+P222*($E$217-'4.Cost of Goods-Svcs Sold'!$B$45)</f>
        <v>0</v>
      </c>
      <c r="Q231" s="365">
        <f>+Q222*($E$217-'4.Cost of Goods-Svcs Sold'!$B$45)</f>
        <v>0</v>
      </c>
      <c r="R231" s="365">
        <f>+R222*($E$217-'4.Cost of Goods-Svcs Sold'!$B$45)</f>
        <v>0</v>
      </c>
      <c r="S231" s="365">
        <f>+S222*($E$217-'4.Cost of Goods-Svcs Sold'!$B$45)</f>
        <v>0</v>
      </c>
    </row>
    <row r="232" spans="1:20">
      <c r="A232" s="1"/>
      <c r="B232" s="1" t="s">
        <v>32</v>
      </c>
      <c r="C232" s="1"/>
      <c r="D232" s="296"/>
      <c r="E232" s="307"/>
      <c r="F232" s="294"/>
      <c r="G232" s="294"/>
      <c r="H232" s="295">
        <f>+H223*$E216</f>
        <v>0</v>
      </c>
      <c r="I232" s="295">
        <f t="shared" ref="I232:S232" si="86">+I223*$E216</f>
        <v>0</v>
      </c>
      <c r="J232" s="295">
        <f t="shared" si="86"/>
        <v>0</v>
      </c>
      <c r="K232" s="295">
        <f t="shared" si="86"/>
        <v>0</v>
      </c>
      <c r="L232" s="295">
        <f t="shared" si="86"/>
        <v>0</v>
      </c>
      <c r="M232" s="295">
        <f t="shared" si="86"/>
        <v>0</v>
      </c>
      <c r="N232" s="295">
        <f t="shared" si="86"/>
        <v>0</v>
      </c>
      <c r="O232" s="295">
        <f t="shared" si="86"/>
        <v>0</v>
      </c>
      <c r="P232" s="295">
        <f t="shared" si="86"/>
        <v>0</v>
      </c>
      <c r="Q232" s="295">
        <f t="shared" si="86"/>
        <v>0</v>
      </c>
      <c r="R232" s="295">
        <f t="shared" si="86"/>
        <v>0</v>
      </c>
      <c r="S232" s="295">
        <f t="shared" si="86"/>
        <v>0</v>
      </c>
      <c r="T232" s="233">
        <f>SUM(H232:S232)</f>
        <v>0</v>
      </c>
    </row>
    <row r="233" spans="1:20">
      <c r="A233" s="1"/>
      <c r="B233" s="1" t="s">
        <v>391</v>
      </c>
      <c r="C233" s="1"/>
      <c r="D233" s="296"/>
      <c r="E233" s="308"/>
      <c r="F233" s="298"/>
      <c r="G233" s="298"/>
      <c r="H233" s="295">
        <f>+H223*$E217</f>
        <v>0</v>
      </c>
      <c r="I233" s="295">
        <f t="shared" ref="I233:S233" si="87">+I223*$E217</f>
        <v>0</v>
      </c>
      <c r="J233" s="295">
        <f t="shared" si="87"/>
        <v>0</v>
      </c>
      <c r="K233" s="295">
        <f t="shared" si="87"/>
        <v>0</v>
      </c>
      <c r="L233" s="295">
        <f t="shared" si="87"/>
        <v>0</v>
      </c>
      <c r="M233" s="295">
        <f t="shared" si="87"/>
        <v>0</v>
      </c>
      <c r="N233" s="295">
        <f t="shared" si="87"/>
        <v>0</v>
      </c>
      <c r="O233" s="295">
        <f t="shared" si="87"/>
        <v>0</v>
      </c>
      <c r="P233" s="295">
        <f t="shared" si="87"/>
        <v>0</v>
      </c>
      <c r="Q233" s="295">
        <f t="shared" si="87"/>
        <v>0</v>
      </c>
      <c r="R233" s="295">
        <f t="shared" si="87"/>
        <v>0</v>
      </c>
      <c r="S233" s="295">
        <f t="shared" si="87"/>
        <v>0</v>
      </c>
      <c r="T233" s="233">
        <f>SUM(H233:S233)</f>
        <v>0</v>
      </c>
    </row>
    <row r="234" spans="1:20">
      <c r="A234" s="1"/>
      <c r="B234" s="356"/>
      <c r="C234" s="334" t="s">
        <v>409</v>
      </c>
      <c r="D234" s="356"/>
      <c r="E234" s="308"/>
      <c r="F234" s="298"/>
      <c r="G234" s="298"/>
      <c r="H234" s="365">
        <f>+H223*($E$217-'4.Cost of Goods-Svcs Sold'!$B$45)</f>
        <v>0</v>
      </c>
      <c r="I234" s="365">
        <f>+I223*($E$217-'4.Cost of Goods-Svcs Sold'!$B$45)</f>
        <v>0</v>
      </c>
      <c r="J234" s="365">
        <f>+J223*($E$217-'4.Cost of Goods-Svcs Sold'!$B$45)</f>
        <v>0</v>
      </c>
      <c r="K234" s="365">
        <f>+K223*($E$217-'4.Cost of Goods-Svcs Sold'!$B$45)</f>
        <v>0</v>
      </c>
      <c r="L234" s="365">
        <f>+L223*($E$217-'4.Cost of Goods-Svcs Sold'!$B$45)</f>
        <v>0</v>
      </c>
      <c r="M234" s="365">
        <f>+M223*($E$217-'4.Cost of Goods-Svcs Sold'!$B$45)</f>
        <v>0</v>
      </c>
      <c r="N234" s="365">
        <f>+N223*($E$217-'4.Cost of Goods-Svcs Sold'!$B$45)</f>
        <v>0</v>
      </c>
      <c r="O234" s="365">
        <f>+O223*($E$217-'4.Cost of Goods-Svcs Sold'!$B$45)</f>
        <v>0</v>
      </c>
      <c r="P234" s="365">
        <f>+P223*($E$217-'4.Cost of Goods-Svcs Sold'!$B$45)</f>
        <v>0</v>
      </c>
      <c r="Q234" s="365">
        <f>+Q223*($E$217-'4.Cost of Goods-Svcs Sold'!$B$45)</f>
        <v>0</v>
      </c>
      <c r="R234" s="365">
        <f>+R223*($E$217-'4.Cost of Goods-Svcs Sold'!$B$45)</f>
        <v>0</v>
      </c>
      <c r="S234" s="365">
        <f>+S223*($E$217-'4.Cost of Goods-Svcs Sold'!$B$45)</f>
        <v>0</v>
      </c>
    </row>
    <row r="235" spans="1:20">
      <c r="A235" s="1"/>
      <c r="B235" s="1"/>
      <c r="C235" s="1"/>
      <c r="D235" s="296"/>
      <c r="E235" s="308"/>
      <c r="F235" s="298"/>
      <c r="G235" s="298"/>
      <c r="H235" s="295"/>
      <c r="I235" s="295"/>
      <c r="J235" s="295"/>
      <c r="K235" s="295"/>
      <c r="L235" s="295"/>
      <c r="M235" s="295"/>
      <c r="N235" s="295"/>
      <c r="O235" s="295"/>
      <c r="P235" s="295"/>
      <c r="Q235" s="295"/>
      <c r="R235" s="295"/>
      <c r="S235" s="295"/>
    </row>
    <row r="236" spans="1:20">
      <c r="A236" s="225" t="str">
        <f>+'4.Cost of Goods-Svcs Sold'!D44</f>
        <v>Product/Service 18</v>
      </c>
      <c r="B236" s="225"/>
      <c r="C236" s="225"/>
      <c r="D236" s="225"/>
      <c r="E236" s="294"/>
      <c r="F236" s="294"/>
      <c r="G236" s="294"/>
      <c r="H236" s="295"/>
      <c r="I236" s="295"/>
      <c r="J236" s="295"/>
      <c r="K236" s="295"/>
      <c r="L236" s="295"/>
      <c r="M236" s="295"/>
      <c r="N236" s="295"/>
      <c r="O236" s="295"/>
      <c r="P236" s="295"/>
      <c r="Q236" s="295"/>
      <c r="R236" s="295"/>
      <c r="S236" s="295"/>
    </row>
    <row r="237" spans="1:20">
      <c r="A237" s="1"/>
      <c r="B237" s="1" t="s">
        <v>276</v>
      </c>
      <c r="C237" s="1"/>
      <c r="D237" s="296"/>
      <c r="E237" s="297"/>
      <c r="F237" s="298">
        <v>1</v>
      </c>
      <c r="G237" s="298"/>
      <c r="H237" s="295"/>
      <c r="I237" s="295"/>
      <c r="J237" s="295"/>
      <c r="K237" s="295"/>
      <c r="L237" s="295"/>
      <c r="M237" s="295"/>
      <c r="N237" s="295"/>
      <c r="O237" s="295"/>
      <c r="P237" s="295"/>
      <c r="Q237" s="295"/>
      <c r="R237" s="295"/>
      <c r="S237" s="295"/>
    </row>
    <row r="238" spans="1:20">
      <c r="A238" s="1"/>
      <c r="B238" s="1" t="s">
        <v>403</v>
      </c>
      <c r="C238" s="1"/>
      <c r="D238" s="296"/>
      <c r="E238" s="397">
        <f>+'4.Cost of Goods-Svcs Sold'!E51</f>
        <v>0</v>
      </c>
      <c r="F238" s="299">
        <f>IF(E237&gt;0,E238/E237,0)</f>
        <v>0</v>
      </c>
      <c r="G238" s="298"/>
      <c r="H238" s="295"/>
      <c r="I238" s="295"/>
      <c r="J238" s="295"/>
      <c r="K238" s="295"/>
      <c r="L238" s="295"/>
      <c r="M238" s="295"/>
      <c r="N238" s="295"/>
      <c r="O238" s="295"/>
      <c r="P238" s="295"/>
      <c r="Q238" s="295"/>
      <c r="R238" s="295"/>
      <c r="S238" s="295"/>
    </row>
    <row r="239" spans="1:20">
      <c r="A239" s="1"/>
      <c r="B239" s="1" t="s">
        <v>289</v>
      </c>
      <c r="C239" s="1"/>
      <c r="D239" s="296"/>
      <c r="E239" s="300">
        <f>E237-E238</f>
        <v>0</v>
      </c>
      <c r="F239" s="298">
        <f>IF(E237&gt;0,E239/E237,0)</f>
        <v>0</v>
      </c>
      <c r="G239" s="298"/>
      <c r="H239" s="295"/>
      <c r="I239" s="295"/>
      <c r="J239" s="295"/>
      <c r="K239" s="295"/>
      <c r="L239" s="295"/>
      <c r="M239" s="295"/>
      <c r="N239" s="295"/>
      <c r="O239" s="295"/>
      <c r="P239" s="295"/>
      <c r="Q239" s="295"/>
      <c r="R239" s="295"/>
      <c r="S239" s="295"/>
    </row>
    <row r="240" spans="1:20">
      <c r="A240" s="1"/>
      <c r="B240" s="1" t="s">
        <v>282</v>
      </c>
      <c r="C240" s="1"/>
      <c r="D240" s="296"/>
      <c r="E240" s="294"/>
      <c r="F240" s="294"/>
      <c r="G240" s="294"/>
      <c r="H240" s="295"/>
      <c r="I240" s="295"/>
      <c r="J240" s="295"/>
      <c r="K240" s="295"/>
      <c r="L240" s="295"/>
      <c r="M240" s="295"/>
      <c r="N240" s="295"/>
      <c r="O240" s="295"/>
      <c r="P240" s="295"/>
      <c r="Q240" s="295"/>
      <c r="R240" s="295"/>
      <c r="S240" s="295"/>
    </row>
    <row r="241" spans="1:20" ht="12.75" thickBot="1">
      <c r="A241" s="1"/>
      <c r="B241" s="1"/>
      <c r="C241" s="1" t="s">
        <v>287</v>
      </c>
      <c r="D241" s="296"/>
      <c r="E241" s="294"/>
      <c r="F241" s="294"/>
      <c r="G241" s="294"/>
      <c r="H241" s="309">
        <f t="shared" ref="H241:S241" si="88">IF(H242=0,0,H242/$T242)</f>
        <v>0</v>
      </c>
      <c r="I241" s="309">
        <f t="shared" si="88"/>
        <v>0</v>
      </c>
      <c r="J241" s="309">
        <f t="shared" si="88"/>
        <v>0</v>
      </c>
      <c r="K241" s="309">
        <f t="shared" si="88"/>
        <v>0</v>
      </c>
      <c r="L241" s="309">
        <f t="shared" si="88"/>
        <v>0</v>
      </c>
      <c r="M241" s="309">
        <f t="shared" si="88"/>
        <v>0</v>
      </c>
      <c r="N241" s="309">
        <f t="shared" si="88"/>
        <v>0</v>
      </c>
      <c r="O241" s="309">
        <f t="shared" si="88"/>
        <v>0</v>
      </c>
      <c r="P241" s="309">
        <f t="shared" si="88"/>
        <v>0</v>
      </c>
      <c r="Q241" s="309">
        <f t="shared" si="88"/>
        <v>0</v>
      </c>
      <c r="R241" s="309">
        <f t="shared" si="88"/>
        <v>0</v>
      </c>
      <c r="S241" s="309">
        <f t="shared" si="88"/>
        <v>0</v>
      </c>
      <c r="T241" s="310">
        <f>SUM(H241:S241)</f>
        <v>0</v>
      </c>
    </row>
    <row r="242" spans="1:20">
      <c r="A242" s="1"/>
      <c r="B242" s="1"/>
      <c r="C242" s="1" t="str">
        <f>+$C$11</f>
        <v>Monthly Unit Sales Year 1</v>
      </c>
      <c r="D242" s="296"/>
      <c r="E242" s="294"/>
      <c r="F242" s="294"/>
      <c r="G242" s="294"/>
      <c r="H242" s="301"/>
      <c r="I242" s="301"/>
      <c r="J242" s="301"/>
      <c r="K242" s="301"/>
      <c r="L242" s="301"/>
      <c r="M242" s="301"/>
      <c r="N242" s="301"/>
      <c r="O242" s="301"/>
      <c r="P242" s="301"/>
      <c r="Q242" s="301"/>
      <c r="R242" s="301"/>
      <c r="S242" s="301"/>
      <c r="T242" s="233">
        <f>SUM(H242:S242)</f>
        <v>0</v>
      </c>
    </row>
    <row r="243" spans="1:20">
      <c r="A243" s="1"/>
      <c r="B243" s="1"/>
      <c r="C243" s="1" t="s">
        <v>404</v>
      </c>
      <c r="D243" s="296"/>
      <c r="E243" s="302">
        <v>0</v>
      </c>
      <c r="F243" s="303"/>
      <c r="G243" s="298"/>
      <c r="H243" s="313">
        <f>IF($E243=0,S242,ROUND((1+($E243/12))*S242,0))</f>
        <v>0</v>
      </c>
      <c r="I243" s="313">
        <f>IF($E243=0,H243,ROUND((1+($E243/12))*H243,0))</f>
        <v>0</v>
      </c>
      <c r="J243" s="313">
        <f t="shared" ref="J243:S244" si="89">IF($E243=0,I243,ROUND((1+($E243/12))*I243,0))</f>
        <v>0</v>
      </c>
      <c r="K243" s="313">
        <f t="shared" si="89"/>
        <v>0</v>
      </c>
      <c r="L243" s="313">
        <f t="shared" si="89"/>
        <v>0</v>
      </c>
      <c r="M243" s="313">
        <f t="shared" si="89"/>
        <v>0</v>
      </c>
      <c r="N243" s="313">
        <f t="shared" si="89"/>
        <v>0</v>
      </c>
      <c r="O243" s="313">
        <f t="shared" si="89"/>
        <v>0</v>
      </c>
      <c r="P243" s="313">
        <f t="shared" si="89"/>
        <v>0</v>
      </c>
      <c r="Q243" s="313">
        <f t="shared" si="89"/>
        <v>0</v>
      </c>
      <c r="R243" s="313">
        <f t="shared" si="89"/>
        <v>0</v>
      </c>
      <c r="S243" s="313">
        <f t="shared" si="89"/>
        <v>0</v>
      </c>
      <c r="T243" s="233">
        <f>SUM(H243:S243)</f>
        <v>0</v>
      </c>
    </row>
    <row r="244" spans="1:20">
      <c r="A244" s="296"/>
      <c r="B244" s="1"/>
      <c r="C244" s="1" t="s">
        <v>405</v>
      </c>
      <c r="D244" s="296"/>
      <c r="E244" s="302">
        <v>0</v>
      </c>
      <c r="F244" s="294"/>
      <c r="G244" s="298"/>
      <c r="H244" s="313">
        <f>IF($E244=0,S243,ROUND((1+($E244/12))*S243,0))</f>
        <v>0</v>
      </c>
      <c r="I244" s="313">
        <f>IF($E244=0,H244,ROUND((1+($E244/12))*H244,0))</f>
        <v>0</v>
      </c>
      <c r="J244" s="313">
        <f t="shared" si="89"/>
        <v>0</v>
      </c>
      <c r="K244" s="313">
        <f t="shared" si="89"/>
        <v>0</v>
      </c>
      <c r="L244" s="313">
        <f t="shared" si="89"/>
        <v>0</v>
      </c>
      <c r="M244" s="313">
        <f t="shared" si="89"/>
        <v>0</v>
      </c>
      <c r="N244" s="313">
        <f t="shared" si="89"/>
        <v>0</v>
      </c>
      <c r="O244" s="313">
        <f t="shared" si="89"/>
        <v>0</v>
      </c>
      <c r="P244" s="313">
        <f t="shared" si="89"/>
        <v>0</v>
      </c>
      <c r="Q244" s="313">
        <f t="shared" si="89"/>
        <v>0</v>
      </c>
      <c r="R244" s="313">
        <f t="shared" si="89"/>
        <v>0</v>
      </c>
      <c r="S244" s="313">
        <f t="shared" si="89"/>
        <v>0</v>
      </c>
      <c r="T244" s="233">
        <f>SUM(H244:S244)</f>
        <v>0</v>
      </c>
    </row>
    <row r="245" spans="1:20">
      <c r="A245" s="296"/>
      <c r="B245" s="344" t="s">
        <v>115</v>
      </c>
      <c r="C245" s="1"/>
      <c r="D245" s="296"/>
      <c r="E245" s="302"/>
      <c r="F245" s="294"/>
      <c r="G245" s="298"/>
      <c r="H245" s="304"/>
      <c r="I245" s="304"/>
      <c r="J245" s="304"/>
      <c r="K245" s="304"/>
      <c r="L245" s="304"/>
      <c r="M245" s="304"/>
      <c r="N245" s="304"/>
      <c r="O245" s="304"/>
      <c r="P245" s="304"/>
      <c r="Q245" s="304"/>
      <c r="R245" s="304"/>
      <c r="S245" s="304"/>
    </row>
    <row r="246" spans="1:20">
      <c r="A246" s="296"/>
      <c r="B246" s="1"/>
      <c r="C246" s="1"/>
      <c r="D246" s="296"/>
      <c r="E246" s="294"/>
      <c r="F246" s="294"/>
      <c r="G246" s="294"/>
      <c r="H246" s="295"/>
      <c r="I246" s="295"/>
      <c r="J246" s="295"/>
      <c r="K246" s="295"/>
      <c r="L246" s="295"/>
      <c r="M246" s="295"/>
      <c r="N246" s="295"/>
      <c r="O246" s="295"/>
      <c r="P246" s="295"/>
      <c r="Q246" s="295"/>
      <c r="R246" s="295"/>
      <c r="S246" s="295"/>
    </row>
    <row r="247" spans="1:20">
      <c r="A247" s="296"/>
      <c r="B247" s="1" t="s">
        <v>28</v>
      </c>
      <c r="C247" s="1"/>
      <c r="D247" s="296"/>
      <c r="E247" s="305">
        <f>T242*E237</f>
        <v>0</v>
      </c>
      <c r="F247" s="298"/>
      <c r="G247" s="294"/>
      <c r="H247" s="295">
        <f>+H242*$E237</f>
        <v>0</v>
      </c>
      <c r="I247" s="295">
        <f t="shared" ref="I247:S247" si="90">+I242*$E237</f>
        <v>0</v>
      </c>
      <c r="J247" s="295">
        <f t="shared" si="90"/>
        <v>0</v>
      </c>
      <c r="K247" s="295">
        <f t="shared" si="90"/>
        <v>0</v>
      </c>
      <c r="L247" s="295">
        <f t="shared" si="90"/>
        <v>0</v>
      </c>
      <c r="M247" s="295">
        <f t="shared" si="90"/>
        <v>0</v>
      </c>
      <c r="N247" s="295">
        <f t="shared" si="90"/>
        <v>0</v>
      </c>
      <c r="O247" s="295">
        <f t="shared" si="90"/>
        <v>0</v>
      </c>
      <c r="P247" s="295">
        <f t="shared" si="90"/>
        <v>0</v>
      </c>
      <c r="Q247" s="295">
        <f t="shared" si="90"/>
        <v>0</v>
      </c>
      <c r="R247" s="295">
        <f t="shared" si="90"/>
        <v>0</v>
      </c>
      <c r="S247" s="295">
        <f t="shared" si="90"/>
        <v>0</v>
      </c>
      <c r="T247" s="233">
        <f>SUM(H247:S247)</f>
        <v>0</v>
      </c>
    </row>
    <row r="248" spans="1:20">
      <c r="A248" s="296"/>
      <c r="B248" s="1" t="s">
        <v>389</v>
      </c>
      <c r="C248" s="1"/>
      <c r="D248" s="296"/>
      <c r="E248" s="306">
        <f>E238*T242</f>
        <v>0</v>
      </c>
      <c r="F248" s="298"/>
      <c r="G248" s="294"/>
      <c r="H248" s="295">
        <f>+H242*$E238</f>
        <v>0</v>
      </c>
      <c r="I248" s="295">
        <f t="shared" ref="I248:S248" si="91">+I242*$E238</f>
        <v>0</v>
      </c>
      <c r="J248" s="295">
        <f t="shared" si="91"/>
        <v>0</v>
      </c>
      <c r="K248" s="295">
        <f t="shared" si="91"/>
        <v>0</v>
      </c>
      <c r="L248" s="295">
        <f t="shared" si="91"/>
        <v>0</v>
      </c>
      <c r="M248" s="295">
        <f t="shared" si="91"/>
        <v>0</v>
      </c>
      <c r="N248" s="295">
        <f t="shared" si="91"/>
        <v>0</v>
      </c>
      <c r="O248" s="295">
        <f t="shared" si="91"/>
        <v>0</v>
      </c>
      <c r="P248" s="295">
        <f t="shared" si="91"/>
        <v>0</v>
      </c>
      <c r="Q248" s="295">
        <f t="shared" si="91"/>
        <v>0</v>
      </c>
      <c r="R248" s="295">
        <f t="shared" si="91"/>
        <v>0</v>
      </c>
      <c r="S248" s="295">
        <f t="shared" si="91"/>
        <v>0</v>
      </c>
      <c r="T248" s="233">
        <f>SUM(H248:S248)</f>
        <v>0</v>
      </c>
    </row>
    <row r="249" spans="1:20">
      <c r="A249" s="1"/>
      <c r="B249" s="356"/>
      <c r="C249" s="334" t="s">
        <v>409</v>
      </c>
      <c r="D249" s="356"/>
      <c r="E249" s="306"/>
      <c r="F249" s="298"/>
      <c r="G249" s="294"/>
      <c r="H249" s="365">
        <f>+H242*($E$238-'4.Cost of Goods-Svcs Sold'!$E$45)</f>
        <v>0</v>
      </c>
      <c r="I249" s="365">
        <f>+I242*($E$238-'4.Cost of Goods-Svcs Sold'!$E$45)</f>
        <v>0</v>
      </c>
      <c r="J249" s="365">
        <f>+J242*($E$238-'4.Cost of Goods-Svcs Sold'!$E$45)</f>
        <v>0</v>
      </c>
      <c r="K249" s="365">
        <f>+K242*($E$238-'4.Cost of Goods-Svcs Sold'!$E$45)</f>
        <v>0</v>
      </c>
      <c r="L249" s="365">
        <f>+L242*($E$238-'4.Cost of Goods-Svcs Sold'!$E$45)</f>
        <v>0</v>
      </c>
      <c r="M249" s="365">
        <f>+M242*($E$238-'4.Cost of Goods-Svcs Sold'!$E$45)</f>
        <v>0</v>
      </c>
      <c r="N249" s="365">
        <f>+N242*($E$238-'4.Cost of Goods-Svcs Sold'!$E$45)</f>
        <v>0</v>
      </c>
      <c r="O249" s="365">
        <f>+O242*($E$238-'4.Cost of Goods-Svcs Sold'!$E$45)</f>
        <v>0</v>
      </c>
      <c r="P249" s="365">
        <f>+P242*($E$238-'4.Cost of Goods-Svcs Sold'!$E$45)</f>
        <v>0</v>
      </c>
      <c r="Q249" s="365">
        <f>+Q242*($E$238-'4.Cost of Goods-Svcs Sold'!$E$45)</f>
        <v>0</v>
      </c>
      <c r="R249" s="365">
        <f>+R242*($E$238-'4.Cost of Goods-Svcs Sold'!$E$45)</f>
        <v>0</v>
      </c>
      <c r="S249" s="365">
        <f>+S242*($E$238-'4.Cost of Goods-Svcs Sold'!$E$45)</f>
        <v>0</v>
      </c>
    </row>
    <row r="250" spans="1:20">
      <c r="A250" s="1"/>
      <c r="B250" s="1" t="s">
        <v>30</v>
      </c>
      <c r="C250" s="1"/>
      <c r="D250" s="296"/>
      <c r="E250" s="306"/>
      <c r="F250" s="298"/>
      <c r="G250" s="298"/>
      <c r="H250" s="295">
        <f>+H243*$E237</f>
        <v>0</v>
      </c>
      <c r="I250" s="295">
        <f t="shared" ref="I250:S250" si="92">+I243*$E237</f>
        <v>0</v>
      </c>
      <c r="J250" s="295">
        <f t="shared" si="92"/>
        <v>0</v>
      </c>
      <c r="K250" s="295">
        <f t="shared" si="92"/>
        <v>0</v>
      </c>
      <c r="L250" s="295">
        <f t="shared" si="92"/>
        <v>0</v>
      </c>
      <c r="M250" s="295">
        <f t="shared" si="92"/>
        <v>0</v>
      </c>
      <c r="N250" s="295">
        <f t="shared" si="92"/>
        <v>0</v>
      </c>
      <c r="O250" s="295">
        <f t="shared" si="92"/>
        <v>0</v>
      </c>
      <c r="P250" s="295">
        <f t="shared" si="92"/>
        <v>0</v>
      </c>
      <c r="Q250" s="295">
        <f t="shared" si="92"/>
        <v>0</v>
      </c>
      <c r="R250" s="295">
        <f t="shared" si="92"/>
        <v>0</v>
      </c>
      <c r="S250" s="295">
        <f t="shared" si="92"/>
        <v>0</v>
      </c>
      <c r="T250" s="233">
        <f>SUM(H250:S250)</f>
        <v>0</v>
      </c>
    </row>
    <row r="251" spans="1:20">
      <c r="A251" s="1"/>
      <c r="B251" s="1" t="s">
        <v>390</v>
      </c>
      <c r="C251" s="1"/>
      <c r="D251" s="296"/>
      <c r="E251" s="306"/>
      <c r="F251" s="298"/>
      <c r="G251" s="298"/>
      <c r="H251" s="295">
        <f>+H243*$E238</f>
        <v>0</v>
      </c>
      <c r="I251" s="295">
        <f t="shared" ref="I251:S251" si="93">+I243*$E238</f>
        <v>0</v>
      </c>
      <c r="J251" s="295">
        <f t="shared" si="93"/>
        <v>0</v>
      </c>
      <c r="K251" s="295">
        <f t="shared" si="93"/>
        <v>0</v>
      </c>
      <c r="L251" s="295">
        <f t="shared" si="93"/>
        <v>0</v>
      </c>
      <c r="M251" s="295">
        <f t="shared" si="93"/>
        <v>0</v>
      </c>
      <c r="N251" s="295">
        <f t="shared" si="93"/>
        <v>0</v>
      </c>
      <c r="O251" s="295">
        <f t="shared" si="93"/>
        <v>0</v>
      </c>
      <c r="P251" s="295">
        <f t="shared" si="93"/>
        <v>0</v>
      </c>
      <c r="Q251" s="295">
        <f t="shared" si="93"/>
        <v>0</v>
      </c>
      <c r="R251" s="295">
        <f t="shared" si="93"/>
        <v>0</v>
      </c>
      <c r="S251" s="295">
        <f t="shared" si="93"/>
        <v>0</v>
      </c>
      <c r="T251" s="233">
        <f>SUM(H251:S251)</f>
        <v>0</v>
      </c>
    </row>
    <row r="252" spans="1:20">
      <c r="A252" s="1"/>
      <c r="B252" s="334"/>
      <c r="C252" s="334" t="s">
        <v>409</v>
      </c>
      <c r="D252" s="356"/>
      <c r="E252" s="294"/>
      <c r="F252" s="294"/>
      <c r="G252" s="294"/>
      <c r="H252" s="365">
        <f>+H243*($E$238-'4.Cost of Goods-Svcs Sold'!$E$45)</f>
        <v>0</v>
      </c>
      <c r="I252" s="365">
        <f>+I243*($E$238-'4.Cost of Goods-Svcs Sold'!$E$45)</f>
        <v>0</v>
      </c>
      <c r="J252" s="365">
        <f>+J243*($E$238-'4.Cost of Goods-Svcs Sold'!$E$45)</f>
        <v>0</v>
      </c>
      <c r="K252" s="365">
        <f>+K243*($E$238-'4.Cost of Goods-Svcs Sold'!$E$45)</f>
        <v>0</v>
      </c>
      <c r="L252" s="365">
        <f>+L243*($E$238-'4.Cost of Goods-Svcs Sold'!$E$45)</f>
        <v>0</v>
      </c>
      <c r="M252" s="365">
        <f>+M243*($E$238-'4.Cost of Goods-Svcs Sold'!$E$45)</f>
        <v>0</v>
      </c>
      <c r="N252" s="365">
        <f>+N243*($E$238-'4.Cost of Goods-Svcs Sold'!$E$45)</f>
        <v>0</v>
      </c>
      <c r="O252" s="365">
        <f>+O243*($E$238-'4.Cost of Goods-Svcs Sold'!$E$45)</f>
        <v>0</v>
      </c>
      <c r="P252" s="365">
        <f>+P243*($E$238-'4.Cost of Goods-Svcs Sold'!$E$45)</f>
        <v>0</v>
      </c>
      <c r="Q252" s="365">
        <f>+Q243*($E$238-'4.Cost of Goods-Svcs Sold'!$E$45)</f>
        <v>0</v>
      </c>
      <c r="R252" s="365">
        <f>+R243*($E$238-'4.Cost of Goods-Svcs Sold'!$E$45)</f>
        <v>0</v>
      </c>
      <c r="S252" s="365">
        <f>+S243*($E$238-'4.Cost of Goods-Svcs Sold'!$E$45)</f>
        <v>0</v>
      </c>
    </row>
    <row r="253" spans="1:20">
      <c r="A253" s="1"/>
      <c r="B253" s="1" t="s">
        <v>32</v>
      </c>
      <c r="C253" s="1"/>
      <c r="D253" s="296"/>
      <c r="E253" s="307"/>
      <c r="F253" s="294"/>
      <c r="G253" s="294"/>
      <c r="H253" s="295">
        <f>+H244*$E237</f>
        <v>0</v>
      </c>
      <c r="I253" s="295">
        <f t="shared" ref="I253:S253" si="94">+I244*$E237</f>
        <v>0</v>
      </c>
      <c r="J253" s="295">
        <f t="shared" si="94"/>
        <v>0</v>
      </c>
      <c r="K253" s="295">
        <f t="shared" si="94"/>
        <v>0</v>
      </c>
      <c r="L253" s="295">
        <f t="shared" si="94"/>
        <v>0</v>
      </c>
      <c r="M253" s="295">
        <f t="shared" si="94"/>
        <v>0</v>
      </c>
      <c r="N253" s="295">
        <f t="shared" si="94"/>
        <v>0</v>
      </c>
      <c r="O253" s="295">
        <f t="shared" si="94"/>
        <v>0</v>
      </c>
      <c r="P253" s="295">
        <f t="shared" si="94"/>
        <v>0</v>
      </c>
      <c r="Q253" s="295">
        <f t="shared" si="94"/>
        <v>0</v>
      </c>
      <c r="R253" s="295">
        <f t="shared" si="94"/>
        <v>0</v>
      </c>
      <c r="S253" s="295">
        <f t="shared" si="94"/>
        <v>0</v>
      </c>
      <c r="T253" s="233">
        <f>SUM(H253:S253)</f>
        <v>0</v>
      </c>
    </row>
    <row r="254" spans="1:20">
      <c r="A254" s="1"/>
      <c r="B254" s="1" t="s">
        <v>391</v>
      </c>
      <c r="C254" s="1"/>
      <c r="D254" s="296"/>
      <c r="E254" s="308"/>
      <c r="F254" s="298"/>
      <c r="G254" s="298"/>
      <c r="H254" s="295">
        <f>+H244*$E238</f>
        <v>0</v>
      </c>
      <c r="I254" s="295">
        <f t="shared" ref="I254:S254" si="95">+I244*$E238</f>
        <v>0</v>
      </c>
      <c r="J254" s="295">
        <f t="shared" si="95"/>
        <v>0</v>
      </c>
      <c r="K254" s="295">
        <f t="shared" si="95"/>
        <v>0</v>
      </c>
      <c r="L254" s="295">
        <f t="shared" si="95"/>
        <v>0</v>
      </c>
      <c r="M254" s="295">
        <f t="shared" si="95"/>
        <v>0</v>
      </c>
      <c r="N254" s="295">
        <f t="shared" si="95"/>
        <v>0</v>
      </c>
      <c r="O254" s="295">
        <f t="shared" si="95"/>
        <v>0</v>
      </c>
      <c r="P254" s="295">
        <f t="shared" si="95"/>
        <v>0</v>
      </c>
      <c r="Q254" s="295">
        <f t="shared" si="95"/>
        <v>0</v>
      </c>
      <c r="R254" s="295">
        <f t="shared" si="95"/>
        <v>0</v>
      </c>
      <c r="S254" s="295">
        <f t="shared" si="95"/>
        <v>0</v>
      </c>
      <c r="T254" s="233">
        <f>SUM(H254:S254)</f>
        <v>0</v>
      </c>
    </row>
    <row r="255" spans="1:20">
      <c r="A255" s="1"/>
      <c r="B255" s="356"/>
      <c r="C255" s="334" t="s">
        <v>409</v>
      </c>
      <c r="D255" s="356"/>
      <c r="E255" s="308"/>
      <c r="F255" s="298"/>
      <c r="G255" s="298"/>
      <c r="H255" s="365">
        <f>+H244*($E$238-'4.Cost of Goods-Svcs Sold'!$E$45)</f>
        <v>0</v>
      </c>
      <c r="I255" s="365">
        <f>+I244*($E$238-'4.Cost of Goods-Svcs Sold'!$E$45)</f>
        <v>0</v>
      </c>
      <c r="J255" s="365">
        <f>+J244*($E$238-'4.Cost of Goods-Svcs Sold'!$E$45)</f>
        <v>0</v>
      </c>
      <c r="K255" s="365">
        <f>+K244*($E$238-'4.Cost of Goods-Svcs Sold'!$E$45)</f>
        <v>0</v>
      </c>
      <c r="L255" s="365">
        <f>+L244*($E$238-'4.Cost of Goods-Svcs Sold'!$E$45)</f>
        <v>0</v>
      </c>
      <c r="M255" s="365">
        <f>+M244*($E$238-'4.Cost of Goods-Svcs Sold'!$E$45)</f>
        <v>0</v>
      </c>
      <c r="N255" s="365">
        <f>+N244*($E$238-'4.Cost of Goods-Svcs Sold'!$E$45)</f>
        <v>0</v>
      </c>
      <c r="O255" s="365">
        <f>+O244*($E$238-'4.Cost of Goods-Svcs Sold'!$E$45)</f>
        <v>0</v>
      </c>
      <c r="P255" s="365">
        <f>+P244*($E$238-'4.Cost of Goods-Svcs Sold'!$E$45)</f>
        <v>0</v>
      </c>
      <c r="Q255" s="365">
        <f>+Q244*($E$238-'4.Cost of Goods-Svcs Sold'!$E$45)</f>
        <v>0</v>
      </c>
      <c r="R255" s="365">
        <f>+R244*($E$238-'4.Cost of Goods-Svcs Sold'!$E$45)</f>
        <v>0</v>
      </c>
      <c r="S255" s="365">
        <f>+S244*($E$238-'4.Cost of Goods-Svcs Sold'!$E$45)</f>
        <v>0</v>
      </c>
    </row>
    <row r="256" spans="1:20">
      <c r="A256" s="1"/>
      <c r="B256" s="1"/>
      <c r="C256" s="1"/>
      <c r="D256" s="296"/>
      <c r="E256" s="308"/>
      <c r="F256" s="298"/>
      <c r="G256" s="298"/>
      <c r="H256" s="295"/>
      <c r="I256" s="295"/>
      <c r="J256" s="295"/>
      <c r="K256" s="295"/>
      <c r="L256" s="295"/>
      <c r="M256" s="295"/>
      <c r="N256" s="295"/>
      <c r="O256" s="295"/>
      <c r="P256" s="295"/>
      <c r="Q256" s="295"/>
      <c r="R256" s="295"/>
      <c r="S256" s="295"/>
    </row>
    <row r="257" spans="1:20">
      <c r="A257" s="225" t="str">
        <f>+'4.Cost of Goods-Svcs Sold'!G44</f>
        <v>Product/Service 19</v>
      </c>
      <c r="B257" s="225"/>
      <c r="C257" s="225"/>
      <c r="D257" s="225"/>
      <c r="E257" s="294"/>
      <c r="F257" s="294"/>
      <c r="G257" s="294"/>
      <c r="H257" s="295"/>
      <c r="I257" s="295"/>
      <c r="J257" s="295"/>
      <c r="K257" s="295"/>
      <c r="L257" s="295"/>
      <c r="M257" s="295"/>
      <c r="N257" s="295"/>
      <c r="O257" s="295"/>
      <c r="P257" s="295"/>
      <c r="Q257" s="295"/>
      <c r="R257" s="295"/>
      <c r="S257" s="295"/>
    </row>
    <row r="258" spans="1:20">
      <c r="A258" s="1"/>
      <c r="B258" s="1" t="s">
        <v>276</v>
      </c>
      <c r="C258" s="1"/>
      <c r="D258" s="296"/>
      <c r="E258" s="297"/>
      <c r="F258" s="298">
        <v>1</v>
      </c>
      <c r="G258" s="298"/>
      <c r="H258" s="295"/>
      <c r="I258" s="295"/>
      <c r="J258" s="295"/>
      <c r="K258" s="295"/>
      <c r="L258" s="295"/>
      <c r="M258" s="295"/>
      <c r="N258" s="295"/>
      <c r="O258" s="295"/>
      <c r="P258" s="295"/>
      <c r="Q258" s="295"/>
      <c r="R258" s="295"/>
      <c r="S258" s="295"/>
    </row>
    <row r="259" spans="1:20">
      <c r="A259" s="1"/>
      <c r="B259" s="1" t="s">
        <v>403</v>
      </c>
      <c r="C259" s="1"/>
      <c r="D259" s="296"/>
      <c r="E259" s="397">
        <f>+'4.Cost of Goods-Svcs Sold'!H51</f>
        <v>0</v>
      </c>
      <c r="F259" s="299">
        <f>IF(E258&gt;0,E259/E258,0)</f>
        <v>0</v>
      </c>
      <c r="G259" s="298"/>
      <c r="H259" s="295"/>
      <c r="I259" s="295"/>
      <c r="J259" s="295"/>
      <c r="K259" s="295"/>
      <c r="L259" s="295"/>
      <c r="M259" s="295"/>
      <c r="N259" s="295"/>
      <c r="O259" s="295"/>
      <c r="P259" s="295"/>
      <c r="Q259" s="295"/>
      <c r="R259" s="295"/>
      <c r="S259" s="295"/>
    </row>
    <row r="260" spans="1:20">
      <c r="A260" s="1"/>
      <c r="B260" s="1" t="s">
        <v>289</v>
      </c>
      <c r="C260" s="1"/>
      <c r="D260" s="296"/>
      <c r="E260" s="300">
        <f>E258-E259</f>
        <v>0</v>
      </c>
      <c r="F260" s="298">
        <f>IF(E258&gt;0,E260/E258,0)</f>
        <v>0</v>
      </c>
      <c r="G260" s="298"/>
      <c r="H260" s="295"/>
      <c r="I260" s="295"/>
      <c r="J260" s="295"/>
      <c r="K260" s="295"/>
      <c r="L260" s="295"/>
      <c r="M260" s="295"/>
      <c r="N260" s="295"/>
      <c r="O260" s="295"/>
      <c r="P260" s="295"/>
      <c r="Q260" s="295"/>
      <c r="R260" s="295"/>
      <c r="S260" s="295"/>
    </row>
    <row r="261" spans="1:20">
      <c r="A261" s="1"/>
      <c r="B261" s="1" t="s">
        <v>282</v>
      </c>
      <c r="C261" s="1"/>
      <c r="D261" s="296"/>
      <c r="E261" s="294"/>
      <c r="F261" s="294"/>
      <c r="G261" s="294"/>
      <c r="H261" s="295"/>
      <c r="I261" s="295"/>
      <c r="J261" s="295"/>
      <c r="K261" s="295"/>
      <c r="L261" s="295"/>
      <c r="M261" s="295"/>
      <c r="N261" s="295"/>
      <c r="O261" s="295"/>
      <c r="P261" s="295"/>
      <c r="Q261" s="295"/>
      <c r="R261" s="295"/>
      <c r="S261" s="295"/>
    </row>
    <row r="262" spans="1:20" ht="12.75" thickBot="1">
      <c r="A262" s="1"/>
      <c r="B262" s="1"/>
      <c r="C262" s="1" t="s">
        <v>287</v>
      </c>
      <c r="D262" s="296"/>
      <c r="E262" s="294"/>
      <c r="F262" s="294"/>
      <c r="G262" s="294"/>
      <c r="H262" s="309">
        <f t="shared" ref="H262:S262" si="96">IF(H263=0,0,H263/$T263)</f>
        <v>0</v>
      </c>
      <c r="I262" s="309">
        <f t="shared" si="96"/>
        <v>0</v>
      </c>
      <c r="J262" s="309">
        <f t="shared" si="96"/>
        <v>0</v>
      </c>
      <c r="K262" s="309">
        <f t="shared" si="96"/>
        <v>0</v>
      </c>
      <c r="L262" s="309">
        <f t="shared" si="96"/>
        <v>0</v>
      </c>
      <c r="M262" s="309">
        <f t="shared" si="96"/>
        <v>0</v>
      </c>
      <c r="N262" s="309">
        <f t="shared" si="96"/>
        <v>0</v>
      </c>
      <c r="O262" s="309">
        <f t="shared" si="96"/>
        <v>0</v>
      </c>
      <c r="P262" s="309">
        <f t="shared" si="96"/>
        <v>0</v>
      </c>
      <c r="Q262" s="309">
        <f t="shared" si="96"/>
        <v>0</v>
      </c>
      <c r="R262" s="309">
        <f t="shared" si="96"/>
        <v>0</v>
      </c>
      <c r="S262" s="309">
        <f t="shared" si="96"/>
        <v>0</v>
      </c>
      <c r="T262" s="310">
        <f>SUM(H262:S262)</f>
        <v>0</v>
      </c>
    </row>
    <row r="263" spans="1:20">
      <c r="A263" s="1"/>
      <c r="B263" s="1"/>
      <c r="C263" s="1" t="str">
        <f>+$C$11</f>
        <v>Monthly Unit Sales Year 1</v>
      </c>
      <c r="D263" s="296"/>
      <c r="E263" s="294"/>
      <c r="F263" s="294"/>
      <c r="G263" s="294"/>
      <c r="H263" s="301"/>
      <c r="I263" s="301"/>
      <c r="J263" s="301"/>
      <c r="K263" s="301"/>
      <c r="L263" s="301"/>
      <c r="M263" s="301"/>
      <c r="N263" s="301"/>
      <c r="O263" s="301"/>
      <c r="P263" s="301"/>
      <c r="Q263" s="301"/>
      <c r="R263" s="301"/>
      <c r="S263" s="301"/>
      <c r="T263" s="233">
        <f>SUM(H263:S263)</f>
        <v>0</v>
      </c>
    </row>
    <row r="264" spans="1:20">
      <c r="A264" s="1"/>
      <c r="B264" s="1"/>
      <c r="C264" s="1" t="s">
        <v>404</v>
      </c>
      <c r="D264" s="296"/>
      <c r="E264" s="302">
        <v>0</v>
      </c>
      <c r="F264" s="303"/>
      <c r="G264" s="298"/>
      <c r="H264" s="313">
        <f>IF($E264=0,S263,ROUND((1+($E264/12))*S263,0))</f>
        <v>0</v>
      </c>
      <c r="I264" s="313">
        <f>IF($E264=0,H264,ROUND((1+($E264/12))*H264,0))</f>
        <v>0</v>
      </c>
      <c r="J264" s="313">
        <f t="shared" ref="J264:S265" si="97">IF($E264=0,I264,ROUND((1+($E264/12))*I264,0))</f>
        <v>0</v>
      </c>
      <c r="K264" s="313">
        <f t="shared" si="97"/>
        <v>0</v>
      </c>
      <c r="L264" s="313">
        <f t="shared" si="97"/>
        <v>0</v>
      </c>
      <c r="M264" s="313">
        <f t="shared" si="97"/>
        <v>0</v>
      </c>
      <c r="N264" s="313">
        <f t="shared" si="97"/>
        <v>0</v>
      </c>
      <c r="O264" s="313">
        <f t="shared" si="97"/>
        <v>0</v>
      </c>
      <c r="P264" s="313">
        <f t="shared" si="97"/>
        <v>0</v>
      </c>
      <c r="Q264" s="313">
        <f t="shared" si="97"/>
        <v>0</v>
      </c>
      <c r="R264" s="313">
        <f t="shared" si="97"/>
        <v>0</v>
      </c>
      <c r="S264" s="313">
        <f t="shared" si="97"/>
        <v>0</v>
      </c>
      <c r="T264" s="233">
        <f>SUM(H264:S264)</f>
        <v>0</v>
      </c>
    </row>
    <row r="265" spans="1:20">
      <c r="A265" s="296"/>
      <c r="B265" s="1"/>
      <c r="C265" s="1" t="s">
        <v>405</v>
      </c>
      <c r="D265" s="296"/>
      <c r="E265" s="302">
        <v>0</v>
      </c>
      <c r="F265" s="294"/>
      <c r="G265" s="298"/>
      <c r="H265" s="313">
        <f>IF($E265=0,S264,ROUND((1+($E265/12))*S264,0))</f>
        <v>0</v>
      </c>
      <c r="I265" s="313">
        <f>IF($E265=0,H265,ROUND((1+($E265/12))*H265,0))</f>
        <v>0</v>
      </c>
      <c r="J265" s="313">
        <f t="shared" si="97"/>
        <v>0</v>
      </c>
      <c r="K265" s="313">
        <f t="shared" si="97"/>
        <v>0</v>
      </c>
      <c r="L265" s="313">
        <f t="shared" si="97"/>
        <v>0</v>
      </c>
      <c r="M265" s="313">
        <f t="shared" si="97"/>
        <v>0</v>
      </c>
      <c r="N265" s="313">
        <f t="shared" si="97"/>
        <v>0</v>
      </c>
      <c r="O265" s="313">
        <f t="shared" si="97"/>
        <v>0</v>
      </c>
      <c r="P265" s="313">
        <f t="shared" si="97"/>
        <v>0</v>
      </c>
      <c r="Q265" s="313">
        <f t="shared" si="97"/>
        <v>0</v>
      </c>
      <c r="R265" s="313">
        <f t="shared" si="97"/>
        <v>0</v>
      </c>
      <c r="S265" s="313">
        <f t="shared" si="97"/>
        <v>0</v>
      </c>
      <c r="T265" s="233">
        <f>SUM(H265:S265)</f>
        <v>0</v>
      </c>
    </row>
    <row r="266" spans="1:20">
      <c r="A266" s="296"/>
      <c r="B266" s="344" t="s">
        <v>115</v>
      </c>
      <c r="C266" s="1"/>
      <c r="D266" s="296"/>
      <c r="E266" s="302"/>
      <c r="F266" s="294"/>
      <c r="G266" s="298"/>
      <c r="H266" s="304"/>
      <c r="I266" s="304"/>
      <c r="J266" s="304"/>
      <c r="K266" s="304"/>
      <c r="L266" s="304"/>
      <c r="M266" s="304"/>
      <c r="N266" s="304"/>
      <c r="O266" s="304"/>
      <c r="P266" s="304"/>
      <c r="Q266" s="304"/>
      <c r="R266" s="304"/>
      <c r="S266" s="304"/>
    </row>
    <row r="267" spans="1:20">
      <c r="A267" s="296"/>
      <c r="B267" s="1"/>
      <c r="C267" s="1"/>
      <c r="D267" s="296"/>
      <c r="E267" s="294"/>
      <c r="F267" s="294"/>
      <c r="G267" s="294"/>
      <c r="H267" s="295"/>
      <c r="I267" s="295"/>
      <c r="J267" s="295"/>
      <c r="K267" s="295"/>
      <c r="L267" s="295"/>
      <c r="M267" s="295"/>
      <c r="N267" s="295"/>
      <c r="O267" s="295"/>
      <c r="P267" s="295"/>
      <c r="Q267" s="295"/>
      <c r="R267" s="295"/>
      <c r="S267" s="295"/>
    </row>
    <row r="268" spans="1:20">
      <c r="A268" s="296"/>
      <c r="B268" s="1" t="s">
        <v>28</v>
      </c>
      <c r="C268" s="1"/>
      <c r="D268" s="296"/>
      <c r="E268" s="305">
        <f>T263*E258</f>
        <v>0</v>
      </c>
      <c r="F268" s="298"/>
      <c r="G268" s="294"/>
      <c r="H268" s="295">
        <f>+H263*$E258</f>
        <v>0</v>
      </c>
      <c r="I268" s="295">
        <f t="shared" ref="I268:S268" si="98">+I263*$E258</f>
        <v>0</v>
      </c>
      <c r="J268" s="295">
        <f t="shared" si="98"/>
        <v>0</v>
      </c>
      <c r="K268" s="295">
        <f t="shared" si="98"/>
        <v>0</v>
      </c>
      <c r="L268" s="295">
        <f t="shared" si="98"/>
        <v>0</v>
      </c>
      <c r="M268" s="295">
        <f t="shared" si="98"/>
        <v>0</v>
      </c>
      <c r="N268" s="295">
        <f t="shared" si="98"/>
        <v>0</v>
      </c>
      <c r="O268" s="295">
        <f t="shared" si="98"/>
        <v>0</v>
      </c>
      <c r="P268" s="295">
        <f t="shared" si="98"/>
        <v>0</v>
      </c>
      <c r="Q268" s="295">
        <f t="shared" si="98"/>
        <v>0</v>
      </c>
      <c r="R268" s="295">
        <f t="shared" si="98"/>
        <v>0</v>
      </c>
      <c r="S268" s="295">
        <f t="shared" si="98"/>
        <v>0</v>
      </c>
      <c r="T268" s="233">
        <f>SUM(H268:S268)</f>
        <v>0</v>
      </c>
    </row>
    <row r="269" spans="1:20">
      <c r="A269" s="296"/>
      <c r="B269" s="1" t="s">
        <v>389</v>
      </c>
      <c r="C269" s="1"/>
      <c r="D269" s="296"/>
      <c r="E269" s="306">
        <f>E259*T263</f>
        <v>0</v>
      </c>
      <c r="F269" s="298"/>
      <c r="G269" s="294"/>
      <c r="H269" s="295">
        <f>+H263*$E259</f>
        <v>0</v>
      </c>
      <c r="I269" s="295">
        <f t="shared" ref="I269:S269" si="99">+I263*$E259</f>
        <v>0</v>
      </c>
      <c r="J269" s="295">
        <f t="shared" si="99"/>
        <v>0</v>
      </c>
      <c r="K269" s="295">
        <f t="shared" si="99"/>
        <v>0</v>
      </c>
      <c r="L269" s="295">
        <f t="shared" si="99"/>
        <v>0</v>
      </c>
      <c r="M269" s="295">
        <f t="shared" si="99"/>
        <v>0</v>
      </c>
      <c r="N269" s="295">
        <f t="shared" si="99"/>
        <v>0</v>
      </c>
      <c r="O269" s="295">
        <f t="shared" si="99"/>
        <v>0</v>
      </c>
      <c r="P269" s="295">
        <f t="shared" si="99"/>
        <v>0</v>
      </c>
      <c r="Q269" s="295">
        <f t="shared" si="99"/>
        <v>0</v>
      </c>
      <c r="R269" s="295">
        <f t="shared" si="99"/>
        <v>0</v>
      </c>
      <c r="S269" s="295">
        <f t="shared" si="99"/>
        <v>0</v>
      </c>
      <c r="T269" s="233">
        <f>SUM(H269:S269)</f>
        <v>0</v>
      </c>
    </row>
    <row r="270" spans="1:20">
      <c r="A270" s="1"/>
      <c r="B270" s="356"/>
      <c r="C270" s="334" t="s">
        <v>409</v>
      </c>
      <c r="D270" s="356"/>
      <c r="E270" s="306"/>
      <c r="F270" s="298"/>
      <c r="G270" s="294"/>
      <c r="H270" s="365">
        <f>+H263*($E$259-'4.Cost of Goods-Svcs Sold'!$H$45)</f>
        <v>0</v>
      </c>
      <c r="I270" s="365">
        <f>+I263*($E$259-'4.Cost of Goods-Svcs Sold'!$H$45)</f>
        <v>0</v>
      </c>
      <c r="J270" s="365">
        <f>+J263*($E$259-'4.Cost of Goods-Svcs Sold'!$H$45)</f>
        <v>0</v>
      </c>
      <c r="K270" s="365">
        <f>+K263*($E$259-'4.Cost of Goods-Svcs Sold'!$H$45)</f>
        <v>0</v>
      </c>
      <c r="L270" s="365">
        <f>+L263*($E$259-'4.Cost of Goods-Svcs Sold'!$H$45)</f>
        <v>0</v>
      </c>
      <c r="M270" s="365">
        <f>+M263*($E$259-'4.Cost of Goods-Svcs Sold'!$H$45)</f>
        <v>0</v>
      </c>
      <c r="N270" s="365">
        <f>+N263*($E$259-'4.Cost of Goods-Svcs Sold'!$H$45)</f>
        <v>0</v>
      </c>
      <c r="O270" s="365">
        <f>+O263*($E$259-'4.Cost of Goods-Svcs Sold'!$H$45)</f>
        <v>0</v>
      </c>
      <c r="P270" s="365">
        <f>+P263*($E$259-'4.Cost of Goods-Svcs Sold'!$H$45)</f>
        <v>0</v>
      </c>
      <c r="Q270" s="365">
        <f>+Q263*($E$259-'4.Cost of Goods-Svcs Sold'!$H$45)</f>
        <v>0</v>
      </c>
      <c r="R270" s="365">
        <f>+R263*($E$259-'4.Cost of Goods-Svcs Sold'!$H$45)</f>
        <v>0</v>
      </c>
      <c r="S270" s="365">
        <f>+S263*($E$259-'4.Cost of Goods-Svcs Sold'!$H$45)</f>
        <v>0</v>
      </c>
    </row>
    <row r="271" spans="1:20">
      <c r="A271" s="1"/>
      <c r="B271" s="1" t="s">
        <v>30</v>
      </c>
      <c r="C271" s="1"/>
      <c r="D271" s="296"/>
      <c r="E271" s="306"/>
      <c r="F271" s="298"/>
      <c r="G271" s="298"/>
      <c r="H271" s="295">
        <f>+H264*$E258</f>
        <v>0</v>
      </c>
      <c r="I271" s="295">
        <f t="shared" ref="I271:S271" si="100">+I264*$E258</f>
        <v>0</v>
      </c>
      <c r="J271" s="295">
        <f t="shared" si="100"/>
        <v>0</v>
      </c>
      <c r="K271" s="295">
        <f t="shared" si="100"/>
        <v>0</v>
      </c>
      <c r="L271" s="295">
        <f t="shared" si="100"/>
        <v>0</v>
      </c>
      <c r="M271" s="295">
        <f t="shared" si="100"/>
        <v>0</v>
      </c>
      <c r="N271" s="295">
        <f t="shared" si="100"/>
        <v>0</v>
      </c>
      <c r="O271" s="295">
        <f t="shared" si="100"/>
        <v>0</v>
      </c>
      <c r="P271" s="295">
        <f t="shared" si="100"/>
        <v>0</v>
      </c>
      <c r="Q271" s="295">
        <f t="shared" si="100"/>
        <v>0</v>
      </c>
      <c r="R271" s="295">
        <f t="shared" si="100"/>
        <v>0</v>
      </c>
      <c r="S271" s="295">
        <f t="shared" si="100"/>
        <v>0</v>
      </c>
      <c r="T271" s="233">
        <f>SUM(H271:S271)</f>
        <v>0</v>
      </c>
    </row>
    <row r="272" spans="1:20">
      <c r="A272" s="1"/>
      <c r="B272" s="1" t="s">
        <v>390</v>
      </c>
      <c r="C272" s="1"/>
      <c r="D272" s="296"/>
      <c r="E272" s="306"/>
      <c r="F272" s="298"/>
      <c r="G272" s="298"/>
      <c r="H272" s="295">
        <f>+H264*$E259</f>
        <v>0</v>
      </c>
      <c r="I272" s="295">
        <f t="shared" ref="I272:S272" si="101">+I264*$E259</f>
        <v>0</v>
      </c>
      <c r="J272" s="295">
        <f t="shared" si="101"/>
        <v>0</v>
      </c>
      <c r="K272" s="295">
        <f t="shared" si="101"/>
        <v>0</v>
      </c>
      <c r="L272" s="295">
        <f t="shared" si="101"/>
        <v>0</v>
      </c>
      <c r="M272" s="295">
        <f t="shared" si="101"/>
        <v>0</v>
      </c>
      <c r="N272" s="295">
        <f t="shared" si="101"/>
        <v>0</v>
      </c>
      <c r="O272" s="295">
        <f t="shared" si="101"/>
        <v>0</v>
      </c>
      <c r="P272" s="295">
        <f t="shared" si="101"/>
        <v>0</v>
      </c>
      <c r="Q272" s="295">
        <f t="shared" si="101"/>
        <v>0</v>
      </c>
      <c r="R272" s="295">
        <f t="shared" si="101"/>
        <v>0</v>
      </c>
      <c r="S272" s="295">
        <f t="shared" si="101"/>
        <v>0</v>
      </c>
      <c r="T272" s="233">
        <f>SUM(H272:S272)</f>
        <v>0</v>
      </c>
    </row>
    <row r="273" spans="1:20">
      <c r="A273" s="1"/>
      <c r="B273" s="334"/>
      <c r="C273" s="334" t="s">
        <v>409</v>
      </c>
      <c r="D273" s="356"/>
      <c r="E273" s="294"/>
      <c r="F273" s="294"/>
      <c r="G273" s="294"/>
      <c r="H273" s="365">
        <f>+H264*($E$259-'4.Cost of Goods-Svcs Sold'!$H$45)</f>
        <v>0</v>
      </c>
      <c r="I273" s="365">
        <f>+I264*($E$259-'4.Cost of Goods-Svcs Sold'!$H$45)</f>
        <v>0</v>
      </c>
      <c r="J273" s="365">
        <f>+J264*($E$259-'4.Cost of Goods-Svcs Sold'!$H$45)</f>
        <v>0</v>
      </c>
      <c r="K273" s="365">
        <f>+K264*($E$259-'4.Cost of Goods-Svcs Sold'!$H$45)</f>
        <v>0</v>
      </c>
      <c r="L273" s="365">
        <f>+L264*($E$259-'4.Cost of Goods-Svcs Sold'!$H$45)</f>
        <v>0</v>
      </c>
      <c r="M273" s="365">
        <f>+M264*($E$259-'4.Cost of Goods-Svcs Sold'!$H$45)</f>
        <v>0</v>
      </c>
      <c r="N273" s="365">
        <f>+N264*($E$259-'4.Cost of Goods-Svcs Sold'!$H$45)</f>
        <v>0</v>
      </c>
      <c r="O273" s="365">
        <f>+O264*($E$259-'4.Cost of Goods-Svcs Sold'!$H$45)</f>
        <v>0</v>
      </c>
      <c r="P273" s="365">
        <f>+P264*($E$259-'4.Cost of Goods-Svcs Sold'!$H$45)</f>
        <v>0</v>
      </c>
      <c r="Q273" s="365">
        <f>+Q264*($E$259-'4.Cost of Goods-Svcs Sold'!$H$45)</f>
        <v>0</v>
      </c>
      <c r="R273" s="365">
        <f>+R264*($E$259-'4.Cost of Goods-Svcs Sold'!$H$45)</f>
        <v>0</v>
      </c>
      <c r="S273" s="365">
        <f>+S264*($E$259-'4.Cost of Goods-Svcs Sold'!$H$45)</f>
        <v>0</v>
      </c>
    </row>
    <row r="274" spans="1:20">
      <c r="A274" s="1"/>
      <c r="B274" s="1" t="s">
        <v>32</v>
      </c>
      <c r="C274" s="1"/>
      <c r="D274" s="296"/>
      <c r="E274" s="307"/>
      <c r="F274" s="294"/>
      <c r="G274" s="294"/>
      <c r="H274" s="295">
        <f>+H265*$E258</f>
        <v>0</v>
      </c>
      <c r="I274" s="295">
        <f t="shared" ref="I274:S274" si="102">+I265*$E258</f>
        <v>0</v>
      </c>
      <c r="J274" s="295">
        <f t="shared" si="102"/>
        <v>0</v>
      </c>
      <c r="K274" s="295">
        <f t="shared" si="102"/>
        <v>0</v>
      </c>
      <c r="L274" s="295">
        <f t="shared" si="102"/>
        <v>0</v>
      </c>
      <c r="M274" s="295">
        <f t="shared" si="102"/>
        <v>0</v>
      </c>
      <c r="N274" s="295">
        <f t="shared" si="102"/>
        <v>0</v>
      </c>
      <c r="O274" s="295">
        <f t="shared" si="102"/>
        <v>0</v>
      </c>
      <c r="P274" s="295">
        <f t="shared" si="102"/>
        <v>0</v>
      </c>
      <c r="Q274" s="295">
        <f t="shared" si="102"/>
        <v>0</v>
      </c>
      <c r="R274" s="295">
        <f t="shared" si="102"/>
        <v>0</v>
      </c>
      <c r="S274" s="295">
        <f t="shared" si="102"/>
        <v>0</v>
      </c>
      <c r="T274" s="233">
        <f>SUM(H274:S274)</f>
        <v>0</v>
      </c>
    </row>
    <row r="275" spans="1:20">
      <c r="A275" s="1"/>
      <c r="B275" s="1" t="s">
        <v>391</v>
      </c>
      <c r="C275" s="1"/>
      <c r="D275" s="296"/>
      <c r="E275" s="308"/>
      <c r="F275" s="298"/>
      <c r="G275" s="298"/>
      <c r="H275" s="295">
        <f>+H265*$E259</f>
        <v>0</v>
      </c>
      <c r="I275" s="295">
        <f t="shared" ref="I275:S275" si="103">+I265*$E259</f>
        <v>0</v>
      </c>
      <c r="J275" s="295">
        <f t="shared" si="103"/>
        <v>0</v>
      </c>
      <c r="K275" s="295">
        <f t="shared" si="103"/>
        <v>0</v>
      </c>
      <c r="L275" s="295">
        <f t="shared" si="103"/>
        <v>0</v>
      </c>
      <c r="M275" s="295">
        <f t="shared" si="103"/>
        <v>0</v>
      </c>
      <c r="N275" s="295">
        <f t="shared" si="103"/>
        <v>0</v>
      </c>
      <c r="O275" s="295">
        <f t="shared" si="103"/>
        <v>0</v>
      </c>
      <c r="P275" s="295">
        <f t="shared" si="103"/>
        <v>0</v>
      </c>
      <c r="Q275" s="295">
        <f t="shared" si="103"/>
        <v>0</v>
      </c>
      <c r="R275" s="295">
        <f t="shared" si="103"/>
        <v>0</v>
      </c>
      <c r="S275" s="295">
        <f t="shared" si="103"/>
        <v>0</v>
      </c>
      <c r="T275" s="233">
        <f>SUM(H275:S275)</f>
        <v>0</v>
      </c>
    </row>
    <row r="276" spans="1:20">
      <c r="A276" s="1"/>
      <c r="B276" s="356"/>
      <c r="C276" s="334" t="s">
        <v>409</v>
      </c>
      <c r="D276" s="356"/>
      <c r="E276" s="308"/>
      <c r="F276" s="298"/>
      <c r="G276" s="298"/>
      <c r="H276" s="365">
        <f>+H265*($E$259-'4.Cost of Goods-Svcs Sold'!$H$45)</f>
        <v>0</v>
      </c>
      <c r="I276" s="365">
        <f>+I265*($E$259-'4.Cost of Goods-Svcs Sold'!$H$45)</f>
        <v>0</v>
      </c>
      <c r="J276" s="365">
        <f>+J265*($E$259-'4.Cost of Goods-Svcs Sold'!$H$45)</f>
        <v>0</v>
      </c>
      <c r="K276" s="365">
        <f>+K265*($E$259-'4.Cost of Goods-Svcs Sold'!$H$45)</f>
        <v>0</v>
      </c>
      <c r="L276" s="365">
        <f>+L265*($E$259-'4.Cost of Goods-Svcs Sold'!$H$45)</f>
        <v>0</v>
      </c>
      <c r="M276" s="365">
        <f>+M265*($E$259-'4.Cost of Goods-Svcs Sold'!$H$45)</f>
        <v>0</v>
      </c>
      <c r="N276" s="365">
        <f>+N265*($E$259-'4.Cost of Goods-Svcs Sold'!$H$45)</f>
        <v>0</v>
      </c>
      <c r="O276" s="365">
        <f>+O265*($E$259-'4.Cost of Goods-Svcs Sold'!$H$45)</f>
        <v>0</v>
      </c>
      <c r="P276" s="365">
        <f>+P265*($E$259-'4.Cost of Goods-Svcs Sold'!$H$45)</f>
        <v>0</v>
      </c>
      <c r="Q276" s="365">
        <f>+Q265*($E$259-'4.Cost of Goods-Svcs Sold'!$H$45)</f>
        <v>0</v>
      </c>
      <c r="R276" s="365">
        <f>+R265*($E$259-'4.Cost of Goods-Svcs Sold'!$H$45)</f>
        <v>0</v>
      </c>
      <c r="S276" s="365">
        <f>+S265*($E$259-'4.Cost of Goods-Svcs Sold'!$H$45)</f>
        <v>0</v>
      </c>
    </row>
    <row r="277" spans="1:20">
      <c r="A277" s="1"/>
      <c r="B277" s="1"/>
      <c r="C277" s="1"/>
      <c r="D277" s="296"/>
      <c r="E277" s="308"/>
      <c r="F277" s="298"/>
      <c r="G277" s="298"/>
      <c r="H277" s="295"/>
      <c r="I277" s="295"/>
      <c r="J277" s="295"/>
      <c r="K277" s="295"/>
      <c r="L277" s="295"/>
      <c r="M277" s="295"/>
      <c r="N277" s="295"/>
      <c r="O277" s="295"/>
      <c r="P277" s="295"/>
      <c r="Q277" s="295"/>
      <c r="R277" s="295"/>
      <c r="S277" s="295"/>
    </row>
    <row r="278" spans="1:20">
      <c r="A278" s="225" t="str">
        <f>+'4.Cost of Goods-Svcs Sold'!J44</f>
        <v>Product/Service 20</v>
      </c>
      <c r="B278" s="225"/>
      <c r="C278" s="225"/>
      <c r="D278" s="225"/>
      <c r="E278" s="294"/>
      <c r="F278" s="294"/>
      <c r="G278" s="294"/>
      <c r="H278" s="295"/>
      <c r="I278" s="295"/>
      <c r="J278" s="295"/>
      <c r="K278" s="295"/>
      <c r="L278" s="295"/>
      <c r="M278" s="295"/>
      <c r="N278" s="295"/>
      <c r="O278" s="295"/>
      <c r="P278" s="295"/>
      <c r="Q278" s="295"/>
      <c r="R278" s="295"/>
      <c r="S278" s="295"/>
    </row>
    <row r="279" spans="1:20">
      <c r="A279" s="1"/>
      <c r="B279" s="1" t="s">
        <v>276</v>
      </c>
      <c r="C279" s="1"/>
      <c r="D279" s="296"/>
      <c r="E279" s="297"/>
      <c r="F279" s="298">
        <v>1</v>
      </c>
      <c r="G279" s="298"/>
      <c r="H279" s="295"/>
      <c r="I279" s="295"/>
      <c r="J279" s="295"/>
      <c r="K279" s="295"/>
      <c r="L279" s="295"/>
      <c r="M279" s="295"/>
      <c r="N279" s="295"/>
      <c r="O279" s="295"/>
      <c r="P279" s="295"/>
      <c r="Q279" s="295"/>
      <c r="R279" s="295"/>
      <c r="S279" s="295"/>
    </row>
    <row r="280" spans="1:20">
      <c r="A280" s="1"/>
      <c r="B280" s="1" t="s">
        <v>403</v>
      </c>
      <c r="C280" s="1"/>
      <c r="D280" s="296"/>
      <c r="E280" s="397">
        <f>+'4.Cost of Goods-Svcs Sold'!K51</f>
        <v>0</v>
      </c>
      <c r="F280" s="299">
        <f>IF(E279&gt;0,E280/E279,0)</f>
        <v>0</v>
      </c>
      <c r="G280" s="298"/>
      <c r="H280" s="295"/>
      <c r="I280" s="295"/>
      <c r="J280" s="295"/>
      <c r="K280" s="295"/>
      <c r="L280" s="295"/>
      <c r="M280" s="295"/>
      <c r="N280" s="295"/>
      <c r="O280" s="295"/>
      <c r="P280" s="295"/>
      <c r="Q280" s="295"/>
      <c r="R280" s="295"/>
      <c r="S280" s="295"/>
    </row>
    <row r="281" spans="1:20">
      <c r="A281" s="1"/>
      <c r="B281" s="1" t="s">
        <v>289</v>
      </c>
      <c r="C281" s="1"/>
      <c r="D281" s="296"/>
      <c r="E281" s="300">
        <f>E279-E280</f>
        <v>0</v>
      </c>
      <c r="F281" s="298">
        <f>IF(E279&gt;0,E281/E279,0)</f>
        <v>0</v>
      </c>
      <c r="G281" s="298"/>
      <c r="H281" s="295"/>
      <c r="I281" s="295"/>
      <c r="J281" s="295"/>
      <c r="K281" s="295"/>
      <c r="L281" s="295"/>
      <c r="M281" s="295"/>
      <c r="N281" s="295"/>
      <c r="O281" s="295"/>
      <c r="P281" s="295"/>
      <c r="Q281" s="295"/>
      <c r="R281" s="295"/>
      <c r="S281" s="295"/>
    </row>
    <row r="282" spans="1:20">
      <c r="A282" s="1"/>
      <c r="B282" s="1" t="s">
        <v>282</v>
      </c>
      <c r="C282" s="1"/>
      <c r="D282" s="296"/>
      <c r="E282" s="294"/>
      <c r="F282" s="294"/>
      <c r="G282" s="294"/>
      <c r="H282" s="295"/>
      <c r="I282" s="295"/>
      <c r="J282" s="295"/>
      <c r="K282" s="295"/>
      <c r="L282" s="295"/>
      <c r="M282" s="295"/>
      <c r="N282" s="295"/>
      <c r="O282" s="295"/>
      <c r="P282" s="295"/>
      <c r="Q282" s="295"/>
      <c r="R282" s="295"/>
      <c r="S282" s="295"/>
    </row>
    <row r="283" spans="1:20" ht="12.75" thickBot="1">
      <c r="A283" s="1"/>
      <c r="B283" s="1"/>
      <c r="C283" s="1" t="s">
        <v>287</v>
      </c>
      <c r="D283" s="296"/>
      <c r="E283" s="294"/>
      <c r="F283" s="294"/>
      <c r="G283" s="294"/>
      <c r="H283" s="309">
        <f t="shared" ref="H283:S283" si="104">IF(H284=0,0,H284/$T284)</f>
        <v>0</v>
      </c>
      <c r="I283" s="309">
        <f t="shared" si="104"/>
        <v>0</v>
      </c>
      <c r="J283" s="309">
        <f t="shared" si="104"/>
        <v>0</v>
      </c>
      <c r="K283" s="309">
        <f t="shared" si="104"/>
        <v>0</v>
      </c>
      <c r="L283" s="309">
        <f t="shared" si="104"/>
        <v>0</v>
      </c>
      <c r="M283" s="309">
        <f t="shared" si="104"/>
        <v>0</v>
      </c>
      <c r="N283" s="309">
        <f t="shared" si="104"/>
        <v>0</v>
      </c>
      <c r="O283" s="309">
        <f t="shared" si="104"/>
        <v>0</v>
      </c>
      <c r="P283" s="309">
        <f t="shared" si="104"/>
        <v>0</v>
      </c>
      <c r="Q283" s="309">
        <f t="shared" si="104"/>
        <v>0</v>
      </c>
      <c r="R283" s="309">
        <f t="shared" si="104"/>
        <v>0</v>
      </c>
      <c r="S283" s="309">
        <f t="shared" si="104"/>
        <v>0</v>
      </c>
      <c r="T283" s="310">
        <f>SUM(H283:S283)</f>
        <v>0</v>
      </c>
    </row>
    <row r="284" spans="1:20">
      <c r="A284" s="1"/>
      <c r="B284" s="1"/>
      <c r="C284" s="1" t="str">
        <f>+$C$11</f>
        <v>Monthly Unit Sales Year 1</v>
      </c>
      <c r="D284" s="296"/>
      <c r="E284" s="294"/>
      <c r="F284" s="294"/>
      <c r="G284" s="294"/>
      <c r="H284" s="301"/>
      <c r="I284" s="301"/>
      <c r="J284" s="301"/>
      <c r="K284" s="301"/>
      <c r="L284" s="301"/>
      <c r="M284" s="301"/>
      <c r="N284" s="301"/>
      <c r="O284" s="301"/>
      <c r="P284" s="301"/>
      <c r="Q284" s="301"/>
      <c r="R284" s="301"/>
      <c r="S284" s="301"/>
      <c r="T284" s="233">
        <f>SUM(H284:S284)</f>
        <v>0</v>
      </c>
    </row>
    <row r="285" spans="1:20">
      <c r="A285" s="1"/>
      <c r="B285" s="1"/>
      <c r="C285" s="1" t="s">
        <v>404</v>
      </c>
      <c r="D285" s="296"/>
      <c r="E285" s="302">
        <v>0</v>
      </c>
      <c r="F285" s="303"/>
      <c r="G285" s="298"/>
      <c r="H285" s="313">
        <f>IF($E285=0,S284,ROUND((1+($E285/12))*S284,0))</f>
        <v>0</v>
      </c>
      <c r="I285" s="313">
        <f>IF($E285=0,H285,ROUND((1+($E285/12))*H285,0))</f>
        <v>0</v>
      </c>
      <c r="J285" s="313">
        <f t="shared" ref="J285:S286" si="105">IF($E285=0,I285,ROUND((1+($E285/12))*I285,0))</f>
        <v>0</v>
      </c>
      <c r="K285" s="313">
        <f t="shared" si="105"/>
        <v>0</v>
      </c>
      <c r="L285" s="313">
        <f t="shared" si="105"/>
        <v>0</v>
      </c>
      <c r="M285" s="313">
        <f t="shared" si="105"/>
        <v>0</v>
      </c>
      <c r="N285" s="313">
        <f t="shared" si="105"/>
        <v>0</v>
      </c>
      <c r="O285" s="313">
        <f t="shared" si="105"/>
        <v>0</v>
      </c>
      <c r="P285" s="313">
        <f t="shared" si="105"/>
        <v>0</v>
      </c>
      <c r="Q285" s="313">
        <f t="shared" si="105"/>
        <v>0</v>
      </c>
      <c r="R285" s="313">
        <f t="shared" si="105"/>
        <v>0</v>
      </c>
      <c r="S285" s="313">
        <f t="shared" si="105"/>
        <v>0</v>
      </c>
      <c r="T285" s="233">
        <f>SUM(H285:S285)</f>
        <v>0</v>
      </c>
    </row>
    <row r="286" spans="1:20">
      <c r="A286" s="296"/>
      <c r="B286" s="1"/>
      <c r="C286" s="1" t="s">
        <v>405</v>
      </c>
      <c r="D286" s="296"/>
      <c r="E286" s="302">
        <v>0</v>
      </c>
      <c r="F286" s="294"/>
      <c r="G286" s="298"/>
      <c r="H286" s="313">
        <f>IF($E286=0,S285,ROUND((1+($E286/12))*S285,0))</f>
        <v>0</v>
      </c>
      <c r="I286" s="313">
        <f>IF($E286=0,H286,ROUND((1+($E286/12))*H286,0))</f>
        <v>0</v>
      </c>
      <c r="J286" s="313">
        <f t="shared" si="105"/>
        <v>0</v>
      </c>
      <c r="K286" s="313">
        <f t="shared" si="105"/>
        <v>0</v>
      </c>
      <c r="L286" s="313">
        <f t="shared" si="105"/>
        <v>0</v>
      </c>
      <c r="M286" s="313">
        <f t="shared" si="105"/>
        <v>0</v>
      </c>
      <c r="N286" s="313">
        <f t="shared" si="105"/>
        <v>0</v>
      </c>
      <c r="O286" s="313">
        <f t="shared" si="105"/>
        <v>0</v>
      </c>
      <c r="P286" s="313">
        <f t="shared" si="105"/>
        <v>0</v>
      </c>
      <c r="Q286" s="313">
        <f t="shared" si="105"/>
        <v>0</v>
      </c>
      <c r="R286" s="313">
        <f t="shared" si="105"/>
        <v>0</v>
      </c>
      <c r="S286" s="313">
        <f t="shared" si="105"/>
        <v>0</v>
      </c>
      <c r="T286" s="233">
        <f>SUM(H286:S286)</f>
        <v>0</v>
      </c>
    </row>
    <row r="287" spans="1:20">
      <c r="A287" s="296"/>
      <c r="B287" s="344" t="s">
        <v>115</v>
      </c>
      <c r="C287" s="1"/>
      <c r="D287" s="296"/>
      <c r="E287" s="302"/>
      <c r="F287" s="294"/>
      <c r="G287" s="298"/>
      <c r="H287" s="304"/>
      <c r="I287" s="304"/>
      <c r="J287" s="304"/>
      <c r="K287" s="304"/>
      <c r="L287" s="304"/>
      <c r="M287" s="304"/>
      <c r="N287" s="304"/>
      <c r="O287" s="304"/>
      <c r="P287" s="304"/>
      <c r="Q287" s="304"/>
      <c r="R287" s="304"/>
      <c r="S287" s="304"/>
    </row>
    <row r="288" spans="1:20">
      <c r="A288" s="296"/>
      <c r="B288" s="1"/>
      <c r="C288" s="1"/>
      <c r="D288" s="296"/>
      <c r="E288" s="294"/>
      <c r="F288" s="294"/>
      <c r="G288" s="294"/>
      <c r="H288" s="295"/>
      <c r="I288" s="295"/>
      <c r="J288" s="295"/>
      <c r="K288" s="295"/>
      <c r="L288" s="295"/>
      <c r="M288" s="295"/>
      <c r="N288" s="295"/>
      <c r="O288" s="295"/>
      <c r="P288" s="295"/>
      <c r="Q288" s="295"/>
      <c r="R288" s="295"/>
      <c r="S288" s="295"/>
    </row>
    <row r="289" spans="1:20">
      <c r="A289" s="296"/>
      <c r="B289" s="1" t="s">
        <v>28</v>
      </c>
      <c r="C289" s="1"/>
      <c r="D289" s="296"/>
      <c r="E289" s="305">
        <f>T284*E279</f>
        <v>0</v>
      </c>
      <c r="F289" s="298"/>
      <c r="G289" s="294"/>
      <c r="H289" s="295">
        <f>+H284*$E279</f>
        <v>0</v>
      </c>
      <c r="I289" s="295">
        <f t="shared" ref="I289:S289" si="106">+I284*$E279</f>
        <v>0</v>
      </c>
      <c r="J289" s="295">
        <f t="shared" si="106"/>
        <v>0</v>
      </c>
      <c r="K289" s="295">
        <f t="shared" si="106"/>
        <v>0</v>
      </c>
      <c r="L289" s="295">
        <f t="shared" si="106"/>
        <v>0</v>
      </c>
      <c r="M289" s="295">
        <f t="shared" si="106"/>
        <v>0</v>
      </c>
      <c r="N289" s="295">
        <f t="shared" si="106"/>
        <v>0</v>
      </c>
      <c r="O289" s="295">
        <f t="shared" si="106"/>
        <v>0</v>
      </c>
      <c r="P289" s="295">
        <f t="shared" si="106"/>
        <v>0</v>
      </c>
      <c r="Q289" s="295">
        <f t="shared" si="106"/>
        <v>0</v>
      </c>
      <c r="R289" s="295">
        <f t="shared" si="106"/>
        <v>0</v>
      </c>
      <c r="S289" s="295">
        <f t="shared" si="106"/>
        <v>0</v>
      </c>
      <c r="T289" s="233">
        <f>SUM(H289:S289)</f>
        <v>0</v>
      </c>
    </row>
    <row r="290" spans="1:20">
      <c r="A290" s="296"/>
      <c r="B290" s="1" t="s">
        <v>389</v>
      </c>
      <c r="C290" s="1"/>
      <c r="D290" s="296"/>
      <c r="E290" s="306">
        <f>E280*T284</f>
        <v>0</v>
      </c>
      <c r="F290" s="298"/>
      <c r="G290" s="294"/>
      <c r="H290" s="295">
        <f>+H284*$E280</f>
        <v>0</v>
      </c>
      <c r="I290" s="295">
        <f t="shared" ref="I290:S290" si="107">+I284*$E280</f>
        <v>0</v>
      </c>
      <c r="J290" s="295">
        <f t="shared" si="107"/>
        <v>0</v>
      </c>
      <c r="K290" s="295">
        <f t="shared" si="107"/>
        <v>0</v>
      </c>
      <c r="L290" s="295">
        <f t="shared" si="107"/>
        <v>0</v>
      </c>
      <c r="M290" s="295">
        <f t="shared" si="107"/>
        <v>0</v>
      </c>
      <c r="N290" s="295">
        <f t="shared" si="107"/>
        <v>0</v>
      </c>
      <c r="O290" s="295">
        <f t="shared" si="107"/>
        <v>0</v>
      </c>
      <c r="P290" s="295">
        <f t="shared" si="107"/>
        <v>0</v>
      </c>
      <c r="Q290" s="295">
        <f t="shared" si="107"/>
        <v>0</v>
      </c>
      <c r="R290" s="295">
        <f t="shared" si="107"/>
        <v>0</v>
      </c>
      <c r="S290" s="295">
        <f t="shared" si="107"/>
        <v>0</v>
      </c>
      <c r="T290" s="233">
        <f>SUM(H290:S290)</f>
        <v>0</v>
      </c>
    </row>
    <row r="291" spans="1:20">
      <c r="A291" s="1"/>
      <c r="B291" s="356"/>
      <c r="C291" s="334" t="s">
        <v>409</v>
      </c>
      <c r="D291" s="356"/>
      <c r="E291" s="306"/>
      <c r="F291" s="298"/>
      <c r="G291" s="294"/>
      <c r="H291" s="365">
        <f>+H284*($E$280-'4.Cost of Goods-Svcs Sold'!$K$45)</f>
        <v>0</v>
      </c>
      <c r="I291" s="365">
        <f>+I284*($E$280-'4.Cost of Goods-Svcs Sold'!$K$45)</f>
        <v>0</v>
      </c>
      <c r="J291" s="365">
        <f>+J284*($E$280-'4.Cost of Goods-Svcs Sold'!$K$45)</f>
        <v>0</v>
      </c>
      <c r="K291" s="365">
        <f>+K284*($E$280-'4.Cost of Goods-Svcs Sold'!$K$45)</f>
        <v>0</v>
      </c>
      <c r="L291" s="365">
        <f>+L284*($E$280-'4.Cost of Goods-Svcs Sold'!$K$45)</f>
        <v>0</v>
      </c>
      <c r="M291" s="365">
        <f>+M284*($E$280-'4.Cost of Goods-Svcs Sold'!$K$45)</f>
        <v>0</v>
      </c>
      <c r="N291" s="365">
        <f>+N284*($E$280-'4.Cost of Goods-Svcs Sold'!$K$45)</f>
        <v>0</v>
      </c>
      <c r="O291" s="365">
        <f>+O284*($E$280-'4.Cost of Goods-Svcs Sold'!$K$45)</f>
        <v>0</v>
      </c>
      <c r="P291" s="365">
        <f>+P284*($E$280-'4.Cost of Goods-Svcs Sold'!$K$45)</f>
        <v>0</v>
      </c>
      <c r="Q291" s="365">
        <f>+Q284*($E$280-'4.Cost of Goods-Svcs Sold'!$K$45)</f>
        <v>0</v>
      </c>
      <c r="R291" s="365">
        <f>+R284*($E$280-'4.Cost of Goods-Svcs Sold'!$K$45)</f>
        <v>0</v>
      </c>
      <c r="S291" s="365">
        <f>+S284*($E$280-'4.Cost of Goods-Svcs Sold'!$K$45)</f>
        <v>0</v>
      </c>
    </row>
    <row r="292" spans="1:20">
      <c r="A292" s="1"/>
      <c r="B292" s="1" t="s">
        <v>30</v>
      </c>
      <c r="C292" s="1"/>
      <c r="D292" s="296"/>
      <c r="E292" s="306"/>
      <c r="F292" s="298"/>
      <c r="G292" s="298"/>
      <c r="H292" s="295">
        <f>+H285*$E279</f>
        <v>0</v>
      </c>
      <c r="I292" s="295">
        <f t="shared" ref="I292:S292" si="108">+I285*$E279</f>
        <v>0</v>
      </c>
      <c r="J292" s="295">
        <f t="shared" si="108"/>
        <v>0</v>
      </c>
      <c r="K292" s="295">
        <f t="shared" si="108"/>
        <v>0</v>
      </c>
      <c r="L292" s="295">
        <f t="shared" si="108"/>
        <v>0</v>
      </c>
      <c r="M292" s="295">
        <f t="shared" si="108"/>
        <v>0</v>
      </c>
      <c r="N292" s="295">
        <f t="shared" si="108"/>
        <v>0</v>
      </c>
      <c r="O292" s="295">
        <f t="shared" si="108"/>
        <v>0</v>
      </c>
      <c r="P292" s="295">
        <f t="shared" si="108"/>
        <v>0</v>
      </c>
      <c r="Q292" s="295">
        <f t="shared" si="108"/>
        <v>0</v>
      </c>
      <c r="R292" s="295">
        <f t="shared" si="108"/>
        <v>0</v>
      </c>
      <c r="S292" s="295">
        <f t="shared" si="108"/>
        <v>0</v>
      </c>
      <c r="T292" s="233">
        <f>SUM(H292:S292)</f>
        <v>0</v>
      </c>
    </row>
    <row r="293" spans="1:20">
      <c r="A293" s="1"/>
      <c r="B293" s="1" t="s">
        <v>390</v>
      </c>
      <c r="C293" s="1"/>
      <c r="D293" s="296"/>
      <c r="E293" s="306"/>
      <c r="F293" s="298"/>
      <c r="G293" s="298"/>
      <c r="H293" s="295">
        <f>+H285*$E280</f>
        <v>0</v>
      </c>
      <c r="I293" s="295">
        <f t="shared" ref="I293:S293" si="109">+I285*$E280</f>
        <v>0</v>
      </c>
      <c r="J293" s="295">
        <f t="shared" si="109"/>
        <v>0</v>
      </c>
      <c r="K293" s="295">
        <f t="shared" si="109"/>
        <v>0</v>
      </c>
      <c r="L293" s="295">
        <f t="shared" si="109"/>
        <v>0</v>
      </c>
      <c r="M293" s="295">
        <f t="shared" si="109"/>
        <v>0</v>
      </c>
      <c r="N293" s="295">
        <f t="shared" si="109"/>
        <v>0</v>
      </c>
      <c r="O293" s="295">
        <f t="shared" si="109"/>
        <v>0</v>
      </c>
      <c r="P293" s="295">
        <f t="shared" si="109"/>
        <v>0</v>
      </c>
      <c r="Q293" s="295">
        <f t="shared" si="109"/>
        <v>0</v>
      </c>
      <c r="R293" s="295">
        <f t="shared" si="109"/>
        <v>0</v>
      </c>
      <c r="S293" s="295">
        <f t="shared" si="109"/>
        <v>0</v>
      </c>
      <c r="T293" s="233">
        <f>SUM(H293:S293)</f>
        <v>0</v>
      </c>
    </row>
    <row r="294" spans="1:20">
      <c r="A294" s="1"/>
      <c r="B294" s="334"/>
      <c r="C294" s="334" t="s">
        <v>409</v>
      </c>
      <c r="D294" s="356"/>
      <c r="E294" s="294"/>
      <c r="F294" s="294"/>
      <c r="G294" s="294"/>
      <c r="H294" s="365">
        <f>+H285*($E$280-'4.Cost of Goods-Svcs Sold'!$K$45)</f>
        <v>0</v>
      </c>
      <c r="I294" s="365">
        <f>+I285*($E$280-'4.Cost of Goods-Svcs Sold'!$K$45)</f>
        <v>0</v>
      </c>
      <c r="J294" s="365">
        <f>+J285*($E$280-'4.Cost of Goods-Svcs Sold'!$K$45)</f>
        <v>0</v>
      </c>
      <c r="K294" s="365">
        <f>+K285*($E$280-'4.Cost of Goods-Svcs Sold'!$K$45)</f>
        <v>0</v>
      </c>
      <c r="L294" s="365">
        <f>+L285*($E$280-'4.Cost of Goods-Svcs Sold'!$K$45)</f>
        <v>0</v>
      </c>
      <c r="M294" s="365">
        <f>+M285*($E$280-'4.Cost of Goods-Svcs Sold'!$K$45)</f>
        <v>0</v>
      </c>
      <c r="N294" s="365">
        <f>+N285*($E$280-'4.Cost of Goods-Svcs Sold'!$K$45)</f>
        <v>0</v>
      </c>
      <c r="O294" s="365">
        <f>+O285*($E$280-'4.Cost of Goods-Svcs Sold'!$K$45)</f>
        <v>0</v>
      </c>
      <c r="P294" s="365">
        <f>+P285*($E$280-'4.Cost of Goods-Svcs Sold'!$K$45)</f>
        <v>0</v>
      </c>
      <c r="Q294" s="365">
        <f>+Q285*($E$280-'4.Cost of Goods-Svcs Sold'!$K$45)</f>
        <v>0</v>
      </c>
      <c r="R294" s="365">
        <f>+R285*($E$280-'4.Cost of Goods-Svcs Sold'!$K$45)</f>
        <v>0</v>
      </c>
      <c r="S294" s="365">
        <f>+S285*($E$280-'4.Cost of Goods-Svcs Sold'!$K$45)</f>
        <v>0</v>
      </c>
    </row>
    <row r="295" spans="1:20">
      <c r="A295" s="1"/>
      <c r="B295" s="1" t="s">
        <v>32</v>
      </c>
      <c r="C295" s="1"/>
      <c r="D295" s="296"/>
      <c r="E295" s="307"/>
      <c r="F295" s="294"/>
      <c r="G295" s="294"/>
      <c r="H295" s="295">
        <f>+H286*$E279</f>
        <v>0</v>
      </c>
      <c r="I295" s="295">
        <f t="shared" ref="I295:S295" si="110">+I286*$E279</f>
        <v>0</v>
      </c>
      <c r="J295" s="295">
        <f t="shared" si="110"/>
        <v>0</v>
      </c>
      <c r="K295" s="295">
        <f t="shared" si="110"/>
        <v>0</v>
      </c>
      <c r="L295" s="295">
        <f t="shared" si="110"/>
        <v>0</v>
      </c>
      <c r="M295" s="295">
        <f t="shared" si="110"/>
        <v>0</v>
      </c>
      <c r="N295" s="295">
        <f t="shared" si="110"/>
        <v>0</v>
      </c>
      <c r="O295" s="295">
        <f t="shared" si="110"/>
        <v>0</v>
      </c>
      <c r="P295" s="295">
        <f t="shared" si="110"/>
        <v>0</v>
      </c>
      <c r="Q295" s="295">
        <f t="shared" si="110"/>
        <v>0</v>
      </c>
      <c r="R295" s="295">
        <f t="shared" si="110"/>
        <v>0</v>
      </c>
      <c r="S295" s="295">
        <f t="shared" si="110"/>
        <v>0</v>
      </c>
      <c r="T295" s="233">
        <f>SUM(H295:S295)</f>
        <v>0</v>
      </c>
    </row>
    <row r="296" spans="1:20">
      <c r="A296" s="1"/>
      <c r="B296" s="1" t="s">
        <v>391</v>
      </c>
      <c r="C296" s="1"/>
      <c r="D296" s="296"/>
      <c r="E296" s="308"/>
      <c r="F296" s="298"/>
      <c r="G296" s="298"/>
      <c r="H296" s="295">
        <f>+H286*$E280</f>
        <v>0</v>
      </c>
      <c r="I296" s="295">
        <f t="shared" ref="I296:S296" si="111">+I286*$E280</f>
        <v>0</v>
      </c>
      <c r="J296" s="295">
        <f t="shared" si="111"/>
        <v>0</v>
      </c>
      <c r="K296" s="295">
        <f t="shared" si="111"/>
        <v>0</v>
      </c>
      <c r="L296" s="295">
        <f t="shared" si="111"/>
        <v>0</v>
      </c>
      <c r="M296" s="295">
        <f t="shared" si="111"/>
        <v>0</v>
      </c>
      <c r="N296" s="295">
        <f t="shared" si="111"/>
        <v>0</v>
      </c>
      <c r="O296" s="295">
        <f t="shared" si="111"/>
        <v>0</v>
      </c>
      <c r="P296" s="295">
        <f t="shared" si="111"/>
        <v>0</v>
      </c>
      <c r="Q296" s="295">
        <f t="shared" si="111"/>
        <v>0</v>
      </c>
      <c r="R296" s="295">
        <f t="shared" si="111"/>
        <v>0</v>
      </c>
      <c r="S296" s="295">
        <f t="shared" si="111"/>
        <v>0</v>
      </c>
      <c r="T296" s="233">
        <f>SUM(H296:S296)</f>
        <v>0</v>
      </c>
    </row>
    <row r="297" spans="1:20">
      <c r="B297" s="356"/>
      <c r="C297" s="334" t="s">
        <v>409</v>
      </c>
      <c r="D297" s="356"/>
      <c r="H297" s="365">
        <f>+H286*($E$280-'4.Cost of Goods-Svcs Sold'!$K$45)</f>
        <v>0</v>
      </c>
      <c r="I297" s="365">
        <f>+I286*($E$280-'4.Cost of Goods-Svcs Sold'!$K$45)</f>
        <v>0</v>
      </c>
      <c r="J297" s="365">
        <f>+J286*($E$280-'4.Cost of Goods-Svcs Sold'!$K$45)</f>
        <v>0</v>
      </c>
      <c r="K297" s="365">
        <f>+K286*($E$280-'4.Cost of Goods-Svcs Sold'!$K$45)</f>
        <v>0</v>
      </c>
      <c r="L297" s="365">
        <f>+L286*($E$280-'4.Cost of Goods-Svcs Sold'!$K$45)</f>
        <v>0</v>
      </c>
      <c r="M297" s="365">
        <f>+M286*($E$280-'4.Cost of Goods-Svcs Sold'!$K$45)</f>
        <v>0</v>
      </c>
      <c r="N297" s="365">
        <f>+N286*($E$280-'4.Cost of Goods-Svcs Sold'!$K$45)</f>
        <v>0</v>
      </c>
      <c r="O297" s="365">
        <f>+O286*($E$280-'4.Cost of Goods-Svcs Sold'!$K$45)</f>
        <v>0</v>
      </c>
      <c r="P297" s="365">
        <f>+P286*($E$280-'4.Cost of Goods-Svcs Sold'!$K$45)</f>
        <v>0</v>
      </c>
      <c r="Q297" s="365">
        <f>+Q286*($E$280-'4.Cost of Goods-Svcs Sold'!$K$45)</f>
        <v>0</v>
      </c>
      <c r="R297" s="365">
        <f>+R286*($E$280-'4.Cost of Goods-Svcs Sold'!$K$45)</f>
        <v>0</v>
      </c>
      <c r="S297" s="365">
        <f>+S286*($E$280-'4.Cost of Goods-Svcs Sold'!$K$45)</f>
        <v>0</v>
      </c>
    </row>
    <row r="302" spans="1:20">
      <c r="A302" s="225" t="s">
        <v>27</v>
      </c>
      <c r="B302" s="116"/>
      <c r="C302" s="116"/>
      <c r="D302" s="116"/>
      <c r="E302" s="66"/>
      <c r="F302" s="66"/>
      <c r="G302" s="66"/>
      <c r="H302" s="232"/>
      <c r="I302" s="232"/>
      <c r="J302" s="232"/>
      <c r="K302" s="232"/>
      <c r="L302" s="232"/>
      <c r="M302" s="232"/>
      <c r="N302" s="232"/>
      <c r="O302" s="232"/>
      <c r="P302" s="232"/>
      <c r="Q302" s="232"/>
      <c r="R302" s="232"/>
      <c r="S302" s="232"/>
      <c r="T302" s="232"/>
    </row>
    <row r="303" spans="1:20">
      <c r="A303" s="23"/>
      <c r="B303" s="23" t="s">
        <v>276</v>
      </c>
      <c r="C303" s="23"/>
      <c r="D303" s="24"/>
      <c r="E303" s="115"/>
      <c r="F303" s="67">
        <v>1</v>
      </c>
      <c r="G303" s="67"/>
      <c r="H303" s="232"/>
      <c r="I303" s="232"/>
      <c r="J303" s="232"/>
      <c r="K303" s="232"/>
      <c r="L303" s="232"/>
      <c r="M303" s="232"/>
      <c r="N303" s="232"/>
      <c r="O303" s="232"/>
      <c r="P303" s="232"/>
      <c r="Q303" s="232"/>
      <c r="R303" s="232"/>
      <c r="S303" s="232"/>
      <c r="T303" s="232"/>
    </row>
    <row r="304" spans="1:20">
      <c r="A304" s="23"/>
      <c r="B304" s="23" t="s">
        <v>277</v>
      </c>
      <c r="C304" s="23"/>
      <c r="D304" s="24"/>
      <c r="E304" s="114"/>
      <c r="F304" s="68">
        <f>IF(E303&gt;0,E304/E303,0)</f>
        <v>0</v>
      </c>
      <c r="G304" s="67"/>
      <c r="H304" s="232"/>
      <c r="I304" s="232"/>
      <c r="J304" s="232"/>
      <c r="K304" s="232"/>
      <c r="L304" s="232"/>
      <c r="M304" s="232"/>
      <c r="N304" s="232"/>
      <c r="O304" s="232"/>
      <c r="P304" s="232"/>
      <c r="Q304" s="232"/>
      <c r="R304" s="232"/>
      <c r="S304" s="232"/>
      <c r="T304" s="232"/>
    </row>
    <row r="305" spans="1:20">
      <c r="A305" s="23"/>
      <c r="B305" s="23" t="s">
        <v>289</v>
      </c>
      <c r="C305" s="23"/>
      <c r="D305" s="24"/>
      <c r="E305" s="69">
        <f>E303-E304</f>
        <v>0</v>
      </c>
      <c r="F305" s="67">
        <f>IF(E303&gt;0,E305/E303,0)</f>
        <v>0</v>
      </c>
      <c r="G305" s="67"/>
      <c r="H305" s="232"/>
      <c r="I305" s="232"/>
      <c r="J305" s="232"/>
      <c r="K305" s="232"/>
      <c r="L305" s="232"/>
      <c r="M305" s="232"/>
      <c r="N305" s="232"/>
      <c r="O305" s="232"/>
      <c r="P305" s="232"/>
      <c r="Q305" s="232"/>
      <c r="R305" s="232"/>
      <c r="S305" s="232"/>
      <c r="T305" s="232"/>
    </row>
    <row r="306" spans="1:20">
      <c r="A306" s="23"/>
      <c r="B306" s="23" t="s">
        <v>282</v>
      </c>
      <c r="C306" s="23"/>
      <c r="D306" s="24"/>
      <c r="E306" s="66"/>
      <c r="F306" s="66"/>
      <c r="G306" s="66"/>
      <c r="H306" s="232"/>
      <c r="I306" s="232"/>
      <c r="J306" s="232"/>
      <c r="K306" s="232"/>
      <c r="L306" s="232"/>
      <c r="M306" s="232"/>
      <c r="N306" s="232"/>
      <c r="O306" s="232"/>
      <c r="P306" s="232"/>
      <c r="Q306" s="232"/>
      <c r="R306" s="232"/>
      <c r="S306" s="232"/>
      <c r="T306" s="232"/>
    </row>
    <row r="307" spans="1:20" ht="12.75" thickBot="1">
      <c r="A307" s="23"/>
      <c r="B307" s="23"/>
      <c r="C307" s="23" t="s">
        <v>287</v>
      </c>
      <c r="D307" s="24"/>
      <c r="E307" s="66"/>
      <c r="F307" s="66"/>
      <c r="G307" s="66"/>
      <c r="H307" s="234"/>
      <c r="I307" s="234"/>
      <c r="J307" s="234"/>
      <c r="K307" s="234"/>
      <c r="L307" s="234"/>
      <c r="M307" s="234"/>
      <c r="N307" s="234"/>
      <c r="O307" s="234"/>
      <c r="P307" s="234"/>
      <c r="Q307" s="234"/>
      <c r="R307" s="234"/>
      <c r="S307" s="234"/>
      <c r="T307" s="238">
        <f>SUM(H307:S307)</f>
        <v>0</v>
      </c>
    </row>
    <row r="308" spans="1:20">
      <c r="A308" s="23"/>
      <c r="B308" s="23"/>
      <c r="C308" s="23" t="s">
        <v>283</v>
      </c>
      <c r="D308" s="24"/>
      <c r="E308" s="66"/>
      <c r="F308" s="66"/>
      <c r="G308" s="66"/>
      <c r="H308" s="235"/>
      <c r="I308" s="235"/>
      <c r="J308" s="235"/>
      <c r="K308" s="235"/>
      <c r="L308" s="235"/>
      <c r="M308" s="235"/>
      <c r="N308" s="235"/>
      <c r="O308" s="235"/>
      <c r="P308" s="235"/>
      <c r="Q308" s="235"/>
      <c r="R308" s="235"/>
      <c r="S308" s="235"/>
      <c r="T308" s="232">
        <f>SUM(H308:S308)</f>
        <v>0</v>
      </c>
    </row>
    <row r="309" spans="1:20">
      <c r="A309" s="23"/>
      <c r="B309" s="23"/>
      <c r="C309" s="23" t="s">
        <v>243</v>
      </c>
      <c r="D309" s="24"/>
      <c r="E309" s="113"/>
      <c r="F309" s="71"/>
      <c r="G309" s="67"/>
      <c r="H309" s="236">
        <f>IF($E309=0,S308,(1+($E309/12))*S308)</f>
        <v>0</v>
      </c>
      <c r="I309" s="236">
        <f t="shared" ref="I309:S309" si="112">IF($E309=0,H309,(1+($E309/12))*H309)</f>
        <v>0</v>
      </c>
      <c r="J309" s="236">
        <f t="shared" si="112"/>
        <v>0</v>
      </c>
      <c r="K309" s="236">
        <f t="shared" si="112"/>
        <v>0</v>
      </c>
      <c r="L309" s="236">
        <f t="shared" si="112"/>
        <v>0</v>
      </c>
      <c r="M309" s="236">
        <f t="shared" si="112"/>
        <v>0</v>
      </c>
      <c r="N309" s="236">
        <f t="shared" si="112"/>
        <v>0</v>
      </c>
      <c r="O309" s="236">
        <f t="shared" si="112"/>
        <v>0</v>
      </c>
      <c r="P309" s="236">
        <f t="shared" si="112"/>
        <v>0</v>
      </c>
      <c r="Q309" s="236">
        <f t="shared" si="112"/>
        <v>0</v>
      </c>
      <c r="R309" s="236">
        <f t="shared" si="112"/>
        <v>0</v>
      </c>
      <c r="S309" s="236">
        <f t="shared" si="112"/>
        <v>0</v>
      </c>
      <c r="T309" s="232">
        <f>SUM(H309:S309)</f>
        <v>0</v>
      </c>
    </row>
    <row r="310" spans="1:20">
      <c r="A310" s="24"/>
      <c r="B310" s="23"/>
      <c r="C310" s="23" t="s">
        <v>167</v>
      </c>
      <c r="D310" s="24"/>
      <c r="E310" s="113"/>
      <c r="F310" s="66"/>
      <c r="G310" s="67"/>
      <c r="H310" s="236">
        <f>IF($E310=0,S309,(1+($E310/12))*S309)</f>
        <v>0</v>
      </c>
      <c r="I310" s="236">
        <f t="shared" ref="I310:S310" si="113">IF($E310=0,H310,(1+($E310/12))*H310)</f>
        <v>0</v>
      </c>
      <c r="J310" s="236">
        <f t="shared" si="113"/>
        <v>0</v>
      </c>
      <c r="K310" s="236">
        <f t="shared" si="113"/>
        <v>0</v>
      </c>
      <c r="L310" s="236">
        <f t="shared" si="113"/>
        <v>0</v>
      </c>
      <c r="M310" s="236">
        <f t="shared" si="113"/>
        <v>0</v>
      </c>
      <c r="N310" s="236">
        <f t="shared" si="113"/>
        <v>0</v>
      </c>
      <c r="O310" s="236">
        <f t="shared" si="113"/>
        <v>0</v>
      </c>
      <c r="P310" s="236">
        <f t="shared" si="113"/>
        <v>0</v>
      </c>
      <c r="Q310" s="236">
        <f t="shared" si="113"/>
        <v>0</v>
      </c>
      <c r="R310" s="236">
        <f t="shared" si="113"/>
        <v>0</v>
      </c>
      <c r="S310" s="236">
        <f t="shared" si="113"/>
        <v>0</v>
      </c>
      <c r="T310" s="232">
        <f>SUM(H310:S310)</f>
        <v>0</v>
      </c>
    </row>
    <row r="311" spans="1:20">
      <c r="A311" s="24"/>
      <c r="B311" s="344" t="s">
        <v>115</v>
      </c>
      <c r="C311" s="23"/>
      <c r="D311" s="24"/>
      <c r="E311" s="117"/>
      <c r="F311" s="66"/>
      <c r="G311" s="67"/>
      <c r="H311" s="237"/>
      <c r="I311" s="237"/>
      <c r="J311" s="237"/>
      <c r="K311" s="237"/>
      <c r="L311" s="237"/>
      <c r="M311" s="237"/>
      <c r="N311" s="237"/>
      <c r="O311" s="237"/>
      <c r="P311" s="237"/>
      <c r="Q311" s="237"/>
      <c r="R311" s="237"/>
      <c r="S311" s="237"/>
      <c r="T311" s="232"/>
    </row>
    <row r="312" spans="1:20">
      <c r="A312" s="24"/>
      <c r="B312" s="23"/>
      <c r="C312" s="23"/>
      <c r="D312" s="24"/>
      <c r="E312" s="66"/>
      <c r="F312" s="66"/>
      <c r="G312" s="66"/>
      <c r="H312" s="232"/>
      <c r="I312" s="232"/>
      <c r="J312" s="232"/>
      <c r="K312" s="232"/>
      <c r="L312" s="232"/>
      <c r="M312" s="232"/>
      <c r="N312" s="232"/>
      <c r="O312" s="232"/>
      <c r="P312" s="232"/>
      <c r="Q312" s="232"/>
      <c r="R312" s="232"/>
      <c r="S312" s="232"/>
      <c r="T312" s="232"/>
    </row>
    <row r="313" spans="1:20">
      <c r="A313" s="24"/>
      <c r="B313" s="1" t="s">
        <v>28</v>
      </c>
      <c r="C313" s="23"/>
      <c r="D313" s="24"/>
      <c r="E313" s="227"/>
      <c r="F313" s="67"/>
      <c r="G313" s="66"/>
      <c r="H313" s="232">
        <f>+H289+H268+H247+H226+H205+H184+H163+H142+H121+H100+H79+H58+H37+H16</f>
        <v>0</v>
      </c>
      <c r="I313" s="232">
        <f t="shared" ref="I313:S313" si="114">+I289+I268+I247+I226+I205+I184+I163+I142+I121+I100+I79+I58+I37+I16</f>
        <v>0</v>
      </c>
      <c r="J313" s="232">
        <f t="shared" si="114"/>
        <v>0</v>
      </c>
      <c r="K313" s="232">
        <f t="shared" si="114"/>
        <v>0</v>
      </c>
      <c r="L313" s="232">
        <f t="shared" si="114"/>
        <v>0</v>
      </c>
      <c r="M313" s="232">
        <f t="shared" si="114"/>
        <v>0</v>
      </c>
      <c r="N313" s="232">
        <f t="shared" si="114"/>
        <v>0</v>
      </c>
      <c r="O313" s="232">
        <f t="shared" si="114"/>
        <v>0</v>
      </c>
      <c r="P313" s="232">
        <f t="shared" si="114"/>
        <v>0</v>
      </c>
      <c r="Q313" s="232">
        <f t="shared" si="114"/>
        <v>0</v>
      </c>
      <c r="R313" s="232">
        <f t="shared" si="114"/>
        <v>0</v>
      </c>
      <c r="S313" s="232">
        <f t="shared" si="114"/>
        <v>0</v>
      </c>
      <c r="T313" s="233">
        <f>SUM(H313:S313)</f>
        <v>0</v>
      </c>
    </row>
    <row r="314" spans="1:20">
      <c r="A314" s="24"/>
      <c r="B314" s="1" t="s">
        <v>29</v>
      </c>
      <c r="C314" s="23"/>
      <c r="D314" s="24"/>
      <c r="E314" s="226"/>
      <c r="F314" s="67"/>
      <c r="G314" s="66"/>
      <c r="H314" s="232">
        <f t="shared" ref="H314:S315" si="115">+H290+H269+H248+H227+H206+H185+H164+H143+H122+H101+H80+H59+H38+H17</f>
        <v>0</v>
      </c>
      <c r="I314" s="232">
        <f t="shared" si="115"/>
        <v>0</v>
      </c>
      <c r="J314" s="232">
        <f t="shared" si="115"/>
        <v>0</v>
      </c>
      <c r="K314" s="232">
        <f t="shared" si="115"/>
        <v>0</v>
      </c>
      <c r="L314" s="232">
        <f t="shared" si="115"/>
        <v>0</v>
      </c>
      <c r="M314" s="232">
        <f t="shared" si="115"/>
        <v>0</v>
      </c>
      <c r="N314" s="232">
        <f t="shared" si="115"/>
        <v>0</v>
      </c>
      <c r="O314" s="232">
        <f t="shared" si="115"/>
        <v>0</v>
      </c>
      <c r="P314" s="232">
        <f t="shared" si="115"/>
        <v>0</v>
      </c>
      <c r="Q314" s="232">
        <f t="shared" si="115"/>
        <v>0</v>
      </c>
      <c r="R314" s="232">
        <f t="shared" si="115"/>
        <v>0</v>
      </c>
      <c r="S314" s="232">
        <f t="shared" si="115"/>
        <v>0</v>
      </c>
      <c r="T314" s="233">
        <f>SUM(H314:S314)</f>
        <v>0</v>
      </c>
    </row>
    <row r="315" spans="1:20">
      <c r="A315" s="23"/>
      <c r="B315" s="23"/>
      <c r="C315" s="334" t="s">
        <v>409</v>
      </c>
      <c r="D315" s="24"/>
      <c r="E315" s="226"/>
      <c r="F315" s="67"/>
      <c r="G315" s="66"/>
      <c r="H315" s="365">
        <f t="shared" si="115"/>
        <v>0</v>
      </c>
      <c r="I315" s="365">
        <f t="shared" si="115"/>
        <v>0</v>
      </c>
      <c r="J315" s="365">
        <f t="shared" si="115"/>
        <v>0</v>
      </c>
      <c r="K315" s="365">
        <f t="shared" si="115"/>
        <v>0</v>
      </c>
      <c r="L315" s="365">
        <f t="shared" si="115"/>
        <v>0</v>
      </c>
      <c r="M315" s="365">
        <f t="shared" si="115"/>
        <v>0</v>
      </c>
      <c r="N315" s="365">
        <f t="shared" si="115"/>
        <v>0</v>
      </c>
      <c r="O315" s="365">
        <f t="shared" si="115"/>
        <v>0</v>
      </c>
      <c r="P315" s="365">
        <f t="shared" si="115"/>
        <v>0</v>
      </c>
      <c r="Q315" s="365">
        <f t="shared" si="115"/>
        <v>0</v>
      </c>
      <c r="R315" s="365">
        <f t="shared" si="115"/>
        <v>0</v>
      </c>
      <c r="S315" s="365">
        <f t="shared" si="115"/>
        <v>0</v>
      </c>
    </row>
    <row r="316" spans="1:20">
      <c r="A316" s="23"/>
      <c r="B316" s="1" t="s">
        <v>30</v>
      </c>
      <c r="C316" s="23"/>
      <c r="D316" s="24"/>
      <c r="E316" s="226"/>
      <c r="F316" s="67"/>
      <c r="G316" s="67"/>
      <c r="H316" s="232">
        <f>+H292+H271+H250+H229+H208+H187+H166+H145+H124+H103+H82+H61+H40+H19</f>
        <v>0</v>
      </c>
      <c r="I316" s="232">
        <f t="shared" ref="I316:S316" si="116">+I292+I271+I250+I229+I208+I187+I166+I145+I124+I103+I82+I61+I40+I19</f>
        <v>0</v>
      </c>
      <c r="J316" s="232">
        <f t="shared" si="116"/>
        <v>0</v>
      </c>
      <c r="K316" s="232">
        <f t="shared" si="116"/>
        <v>0</v>
      </c>
      <c r="L316" s="232">
        <f t="shared" si="116"/>
        <v>0</v>
      </c>
      <c r="M316" s="232">
        <f t="shared" si="116"/>
        <v>0</v>
      </c>
      <c r="N316" s="232">
        <f t="shared" si="116"/>
        <v>0</v>
      </c>
      <c r="O316" s="232">
        <f t="shared" si="116"/>
        <v>0</v>
      </c>
      <c r="P316" s="232">
        <f t="shared" si="116"/>
        <v>0</v>
      </c>
      <c r="Q316" s="232">
        <f t="shared" si="116"/>
        <v>0</v>
      </c>
      <c r="R316" s="232">
        <f t="shared" si="116"/>
        <v>0</v>
      </c>
      <c r="S316" s="232">
        <f t="shared" si="116"/>
        <v>0</v>
      </c>
      <c r="T316" s="233">
        <f>SUM(H316:S316)</f>
        <v>0</v>
      </c>
    </row>
    <row r="317" spans="1:20">
      <c r="A317" s="23"/>
      <c r="B317" s="1" t="s">
        <v>31</v>
      </c>
      <c r="C317" s="23"/>
      <c r="D317" s="24"/>
      <c r="E317" s="226"/>
      <c r="F317" s="67"/>
      <c r="G317" s="67"/>
      <c r="H317" s="232">
        <f t="shared" ref="H317:S318" si="117">+H293+H272+H251+H230+H209+H188+H167+H146+H125+H104+H83+H62+H41+H20</f>
        <v>0</v>
      </c>
      <c r="I317" s="232">
        <f t="shared" si="117"/>
        <v>0</v>
      </c>
      <c r="J317" s="232">
        <f t="shared" si="117"/>
        <v>0</v>
      </c>
      <c r="K317" s="232">
        <f t="shared" si="117"/>
        <v>0</v>
      </c>
      <c r="L317" s="232">
        <f t="shared" si="117"/>
        <v>0</v>
      </c>
      <c r="M317" s="232">
        <f t="shared" si="117"/>
        <v>0</v>
      </c>
      <c r="N317" s="232">
        <f t="shared" si="117"/>
        <v>0</v>
      </c>
      <c r="O317" s="232">
        <f t="shared" si="117"/>
        <v>0</v>
      </c>
      <c r="P317" s="232">
        <f t="shared" si="117"/>
        <v>0</v>
      </c>
      <c r="Q317" s="232">
        <f t="shared" si="117"/>
        <v>0</v>
      </c>
      <c r="R317" s="232">
        <f t="shared" si="117"/>
        <v>0</v>
      </c>
      <c r="S317" s="232">
        <f t="shared" si="117"/>
        <v>0</v>
      </c>
      <c r="T317" s="233">
        <f>SUM(H317:S317)</f>
        <v>0</v>
      </c>
    </row>
    <row r="318" spans="1:20">
      <c r="A318" s="23"/>
      <c r="B318" s="23"/>
      <c r="C318" s="334" t="s">
        <v>409</v>
      </c>
      <c r="D318" s="24"/>
      <c r="E318" s="228"/>
      <c r="F318" s="66"/>
      <c r="G318" s="66"/>
      <c r="H318" s="365">
        <f t="shared" si="117"/>
        <v>0</v>
      </c>
      <c r="I318" s="365">
        <f t="shared" si="117"/>
        <v>0</v>
      </c>
      <c r="J318" s="365">
        <f t="shared" si="117"/>
        <v>0</v>
      </c>
      <c r="K318" s="365">
        <f t="shared" si="117"/>
        <v>0</v>
      </c>
      <c r="L318" s="365">
        <f t="shared" si="117"/>
        <v>0</v>
      </c>
      <c r="M318" s="365">
        <f t="shared" si="117"/>
        <v>0</v>
      </c>
      <c r="N318" s="365">
        <f t="shared" si="117"/>
        <v>0</v>
      </c>
      <c r="O318" s="365">
        <f t="shared" si="117"/>
        <v>0</v>
      </c>
      <c r="P318" s="365">
        <f t="shared" si="117"/>
        <v>0</v>
      </c>
      <c r="Q318" s="365">
        <f t="shared" si="117"/>
        <v>0</v>
      </c>
      <c r="R318" s="365">
        <f t="shared" si="117"/>
        <v>0</v>
      </c>
      <c r="S318" s="365">
        <f t="shared" si="117"/>
        <v>0</v>
      </c>
    </row>
    <row r="319" spans="1:20">
      <c r="A319" s="23"/>
      <c r="B319" s="1" t="s">
        <v>32</v>
      </c>
      <c r="C319" s="23"/>
      <c r="D319" s="24"/>
      <c r="E319" s="229"/>
      <c r="F319" s="66"/>
      <c r="G319" s="66"/>
      <c r="H319" s="232">
        <f>+H295+H274+H253+H232+H211+H190+H169+H148+H127+H106+H85+H64+H43+H22</f>
        <v>0</v>
      </c>
      <c r="I319" s="232">
        <f t="shared" ref="I319:S319" si="118">+I295+I274+I253+I232+I211+I190+I169+I148+I127+I106+I85+I64+I43+I22</f>
        <v>0</v>
      </c>
      <c r="J319" s="232">
        <f t="shared" si="118"/>
        <v>0</v>
      </c>
      <c r="K319" s="232">
        <f t="shared" si="118"/>
        <v>0</v>
      </c>
      <c r="L319" s="232">
        <f t="shared" si="118"/>
        <v>0</v>
      </c>
      <c r="M319" s="232">
        <f t="shared" si="118"/>
        <v>0</v>
      </c>
      <c r="N319" s="232">
        <f t="shared" si="118"/>
        <v>0</v>
      </c>
      <c r="O319" s="232">
        <f t="shared" si="118"/>
        <v>0</v>
      </c>
      <c r="P319" s="232">
        <f t="shared" si="118"/>
        <v>0</v>
      </c>
      <c r="Q319" s="232">
        <f t="shared" si="118"/>
        <v>0</v>
      </c>
      <c r="R319" s="232">
        <f t="shared" si="118"/>
        <v>0</v>
      </c>
      <c r="S319" s="232">
        <f t="shared" si="118"/>
        <v>0</v>
      </c>
      <c r="T319" s="233">
        <f>SUM(H319:S319)</f>
        <v>0</v>
      </c>
    </row>
    <row r="320" spans="1:20">
      <c r="A320" s="23"/>
      <c r="B320" s="1" t="s">
        <v>33</v>
      </c>
      <c r="C320" s="23"/>
      <c r="D320" s="24"/>
      <c r="E320" s="226"/>
      <c r="F320" s="67"/>
      <c r="G320" s="67"/>
      <c r="H320" s="232">
        <f t="shared" ref="H320:S321" si="119">+H296+H275+H254+H233+H212+H191+H170+H149+H128+H107+H86+H65+H44+H23</f>
        <v>0</v>
      </c>
      <c r="I320" s="232">
        <f t="shared" si="119"/>
        <v>0</v>
      </c>
      <c r="J320" s="232">
        <f t="shared" si="119"/>
        <v>0</v>
      </c>
      <c r="K320" s="232">
        <f t="shared" si="119"/>
        <v>0</v>
      </c>
      <c r="L320" s="232">
        <f t="shared" si="119"/>
        <v>0</v>
      </c>
      <c r="M320" s="232">
        <f t="shared" si="119"/>
        <v>0</v>
      </c>
      <c r="N320" s="232">
        <f t="shared" si="119"/>
        <v>0</v>
      </c>
      <c r="O320" s="232">
        <f t="shared" si="119"/>
        <v>0</v>
      </c>
      <c r="P320" s="232">
        <f t="shared" si="119"/>
        <v>0</v>
      </c>
      <c r="Q320" s="232">
        <f t="shared" si="119"/>
        <v>0</v>
      </c>
      <c r="R320" s="232">
        <f t="shared" si="119"/>
        <v>0</v>
      </c>
      <c r="S320" s="232">
        <f t="shared" si="119"/>
        <v>0</v>
      </c>
      <c r="T320" s="233">
        <f>SUM(H320:S320)</f>
        <v>0</v>
      </c>
    </row>
    <row r="321" spans="1:19">
      <c r="C321" s="334" t="s">
        <v>409</v>
      </c>
      <c r="H321" s="365">
        <f t="shared" si="119"/>
        <v>0</v>
      </c>
      <c r="I321" s="365">
        <f t="shared" si="119"/>
        <v>0</v>
      </c>
      <c r="J321" s="365">
        <f t="shared" si="119"/>
        <v>0</v>
      </c>
      <c r="K321" s="365">
        <f t="shared" si="119"/>
        <v>0</v>
      </c>
      <c r="L321" s="365">
        <f t="shared" si="119"/>
        <v>0</v>
      </c>
      <c r="M321" s="365">
        <f t="shared" si="119"/>
        <v>0</v>
      </c>
      <c r="N321" s="365">
        <f t="shared" si="119"/>
        <v>0</v>
      </c>
      <c r="O321" s="365">
        <f t="shared" si="119"/>
        <v>0</v>
      </c>
      <c r="P321" s="365">
        <f t="shared" si="119"/>
        <v>0</v>
      </c>
      <c r="Q321" s="365">
        <f t="shared" si="119"/>
        <v>0</v>
      </c>
      <c r="R321" s="365">
        <f t="shared" si="119"/>
        <v>0</v>
      </c>
      <c r="S321" s="365">
        <f t="shared" si="119"/>
        <v>0</v>
      </c>
    </row>
    <row r="323" spans="1:19">
      <c r="A323" s="1" t="s">
        <v>375</v>
      </c>
    </row>
    <row r="325" spans="1:19">
      <c r="B325" t="str">
        <f>+A5</f>
        <v>Product/Service 7</v>
      </c>
      <c r="E325" s="3" t="s">
        <v>376</v>
      </c>
      <c r="H325" s="270">
        <f>IF(H11*('4.Cost of Goods-Svcs Sold'!$H$17+'4.Cost of Goods-Svcs Sold'!$H$20)&gt;0,H11*('4.Cost of Goods-Svcs Sold'!$H$17+'4.Cost of Goods-Svcs Sold'!$H$20),0)</f>
        <v>0</v>
      </c>
      <c r="I325" s="270">
        <f>IF(I11*('4.Cost of Goods-Svcs Sold'!$H$17+'4.Cost of Goods-Svcs Sold'!$H$20)&gt;0,I11*('4.Cost of Goods-Svcs Sold'!$H$17+'4.Cost of Goods-Svcs Sold'!$H$20),0)</f>
        <v>0</v>
      </c>
      <c r="J325" s="270">
        <f>IF(J11*('4.Cost of Goods-Svcs Sold'!$H$17+'4.Cost of Goods-Svcs Sold'!$H$20)&gt;0,J11*('4.Cost of Goods-Svcs Sold'!$H$17+'4.Cost of Goods-Svcs Sold'!$H$20),0)</f>
        <v>0</v>
      </c>
      <c r="K325" s="270">
        <f>IF(K11*('4.Cost of Goods-Svcs Sold'!$H$17+'4.Cost of Goods-Svcs Sold'!$H$20)&gt;0,K11*('4.Cost of Goods-Svcs Sold'!$H$17+'4.Cost of Goods-Svcs Sold'!$H$20),0)</f>
        <v>0</v>
      </c>
      <c r="L325" s="270">
        <f>IF(L11*('4.Cost of Goods-Svcs Sold'!$H$17+'4.Cost of Goods-Svcs Sold'!$H$20)&gt;0,L11*('4.Cost of Goods-Svcs Sold'!$H$17+'4.Cost of Goods-Svcs Sold'!$H$20),0)</f>
        <v>0</v>
      </c>
      <c r="M325" s="270">
        <f>IF(M11*('4.Cost of Goods-Svcs Sold'!$H$17+'4.Cost of Goods-Svcs Sold'!$H$20)&gt;0,M11*('4.Cost of Goods-Svcs Sold'!$H$17+'4.Cost of Goods-Svcs Sold'!$H$20),0)</f>
        <v>0</v>
      </c>
      <c r="N325" s="270">
        <f>IF(N11*('4.Cost of Goods-Svcs Sold'!$H$17+'4.Cost of Goods-Svcs Sold'!$H$20)&gt;0,N11*('4.Cost of Goods-Svcs Sold'!$H$17+'4.Cost of Goods-Svcs Sold'!$H$20),0)</f>
        <v>0</v>
      </c>
      <c r="O325" s="270">
        <f>IF(O11*('4.Cost of Goods-Svcs Sold'!$H$17+'4.Cost of Goods-Svcs Sold'!$H$20)&gt;0,O11*('4.Cost of Goods-Svcs Sold'!$H$17+'4.Cost of Goods-Svcs Sold'!$H$20),0)</f>
        <v>0</v>
      </c>
      <c r="P325" s="270">
        <f>IF(P11*('4.Cost of Goods-Svcs Sold'!$H$17+'4.Cost of Goods-Svcs Sold'!$H$20)&gt;0,P11*('4.Cost of Goods-Svcs Sold'!$H$17+'4.Cost of Goods-Svcs Sold'!$H$20),0)</f>
        <v>0</v>
      </c>
      <c r="Q325" s="270">
        <f>IF(Q11*('4.Cost of Goods-Svcs Sold'!$H$17+'4.Cost of Goods-Svcs Sold'!$H$20)&gt;0,Q11*('4.Cost of Goods-Svcs Sold'!$H$17+'4.Cost of Goods-Svcs Sold'!$H$20),0)</f>
        <v>0</v>
      </c>
      <c r="R325" s="270">
        <f>IF(R11*('4.Cost of Goods-Svcs Sold'!$H$17+'4.Cost of Goods-Svcs Sold'!$H$20)&gt;0,R11*('4.Cost of Goods-Svcs Sold'!$H$17+'4.Cost of Goods-Svcs Sold'!$H$20),0)</f>
        <v>0</v>
      </c>
      <c r="S325" s="270">
        <f>IF(S11*('4.Cost of Goods-Svcs Sold'!$H$17+'4.Cost of Goods-Svcs Sold'!$H$20)&gt;0,S11*('4.Cost of Goods-Svcs Sold'!$H$17+'4.Cost of Goods-Svcs Sold'!$H$20),0)</f>
        <v>0</v>
      </c>
    </row>
    <row r="326" spans="1:19">
      <c r="E326" s="3" t="s">
        <v>377</v>
      </c>
      <c r="H326" s="270">
        <f>IF(H12*('4.Cost of Goods-Svcs Sold'!$H$17+'4.Cost of Goods-Svcs Sold'!$H$20)&gt;0,H12*('4.Cost of Goods-Svcs Sold'!$H$17+'4.Cost of Goods-Svcs Sold'!$H$20),0)</f>
        <v>0</v>
      </c>
      <c r="I326" s="270">
        <f>IF(I12*('4.Cost of Goods-Svcs Sold'!$H$17+'4.Cost of Goods-Svcs Sold'!$H$20)&gt;0,I12*('4.Cost of Goods-Svcs Sold'!$H$17+'4.Cost of Goods-Svcs Sold'!$H$20),0)</f>
        <v>0</v>
      </c>
      <c r="J326" s="270">
        <f>IF(J12*('4.Cost of Goods-Svcs Sold'!$H$17+'4.Cost of Goods-Svcs Sold'!$H$20)&gt;0,J12*('4.Cost of Goods-Svcs Sold'!$H$17+'4.Cost of Goods-Svcs Sold'!$H$20),0)</f>
        <v>0</v>
      </c>
      <c r="K326" s="270">
        <f>IF(K12*('4.Cost of Goods-Svcs Sold'!$H$17+'4.Cost of Goods-Svcs Sold'!$H$20)&gt;0,K12*('4.Cost of Goods-Svcs Sold'!$H$17+'4.Cost of Goods-Svcs Sold'!$H$20),0)</f>
        <v>0</v>
      </c>
      <c r="L326" s="270">
        <f>IF(L12*('4.Cost of Goods-Svcs Sold'!$H$17+'4.Cost of Goods-Svcs Sold'!$H$20)&gt;0,L12*('4.Cost of Goods-Svcs Sold'!$H$17+'4.Cost of Goods-Svcs Sold'!$H$20),0)</f>
        <v>0</v>
      </c>
      <c r="M326" s="270">
        <f>IF(M12*('4.Cost of Goods-Svcs Sold'!$H$17+'4.Cost of Goods-Svcs Sold'!$H$20)&gt;0,M12*('4.Cost of Goods-Svcs Sold'!$H$17+'4.Cost of Goods-Svcs Sold'!$H$20),0)</f>
        <v>0</v>
      </c>
      <c r="N326" s="270">
        <f>IF(N12*('4.Cost of Goods-Svcs Sold'!$H$17+'4.Cost of Goods-Svcs Sold'!$H$20)&gt;0,N12*('4.Cost of Goods-Svcs Sold'!$H$17+'4.Cost of Goods-Svcs Sold'!$H$20),0)</f>
        <v>0</v>
      </c>
      <c r="O326" s="270">
        <f>IF(O12*('4.Cost of Goods-Svcs Sold'!$H$17+'4.Cost of Goods-Svcs Sold'!$H$20)&gt;0,O12*('4.Cost of Goods-Svcs Sold'!$H$17+'4.Cost of Goods-Svcs Sold'!$H$20),0)</f>
        <v>0</v>
      </c>
      <c r="P326" s="270">
        <f>IF(P12*('4.Cost of Goods-Svcs Sold'!$H$17+'4.Cost of Goods-Svcs Sold'!$H$20)&gt;0,P12*('4.Cost of Goods-Svcs Sold'!$H$17+'4.Cost of Goods-Svcs Sold'!$H$20),0)</f>
        <v>0</v>
      </c>
      <c r="Q326" s="270">
        <f>IF(Q12*('4.Cost of Goods-Svcs Sold'!$H$17+'4.Cost of Goods-Svcs Sold'!$H$20)&gt;0,Q12*('4.Cost of Goods-Svcs Sold'!$H$17+'4.Cost of Goods-Svcs Sold'!$H$20),0)</f>
        <v>0</v>
      </c>
      <c r="R326" s="270">
        <f>IF(R12*('4.Cost of Goods-Svcs Sold'!$H$17+'4.Cost of Goods-Svcs Sold'!$H$20)&gt;0,R12*('4.Cost of Goods-Svcs Sold'!$H$17+'4.Cost of Goods-Svcs Sold'!$H$20),0)</f>
        <v>0</v>
      </c>
      <c r="S326" s="270">
        <f>IF(S12*('4.Cost of Goods-Svcs Sold'!$H$17+'4.Cost of Goods-Svcs Sold'!$H$20)&gt;0,S12*('4.Cost of Goods-Svcs Sold'!$H$17+'4.Cost of Goods-Svcs Sold'!$H$20),0)</f>
        <v>0</v>
      </c>
    </row>
    <row r="327" spans="1:19">
      <c r="E327" s="3" t="s">
        <v>378</v>
      </c>
      <c r="H327" s="270">
        <f>IF(H13*('4.Cost of Goods-Svcs Sold'!$H$17+'4.Cost of Goods-Svcs Sold'!$H$20)&gt;0,H13*('4.Cost of Goods-Svcs Sold'!$H$17+'4.Cost of Goods-Svcs Sold'!$H$20),0)</f>
        <v>0</v>
      </c>
      <c r="I327" s="270">
        <f>IF(I13*('4.Cost of Goods-Svcs Sold'!$H$17+'4.Cost of Goods-Svcs Sold'!$H$20)&gt;0,I13*('4.Cost of Goods-Svcs Sold'!$H$17+'4.Cost of Goods-Svcs Sold'!$H$20),0)</f>
        <v>0</v>
      </c>
      <c r="J327" s="270">
        <f>IF(J13*('4.Cost of Goods-Svcs Sold'!$H$17+'4.Cost of Goods-Svcs Sold'!$H$20)&gt;0,J13*('4.Cost of Goods-Svcs Sold'!$H$17+'4.Cost of Goods-Svcs Sold'!$H$20),0)</f>
        <v>0</v>
      </c>
      <c r="K327" s="270">
        <f>IF(K13*('4.Cost of Goods-Svcs Sold'!$H$17+'4.Cost of Goods-Svcs Sold'!$H$20)&gt;0,K13*('4.Cost of Goods-Svcs Sold'!$H$17+'4.Cost of Goods-Svcs Sold'!$H$20),0)</f>
        <v>0</v>
      </c>
      <c r="L327" s="270">
        <f>IF(L13*('4.Cost of Goods-Svcs Sold'!$H$17+'4.Cost of Goods-Svcs Sold'!$H$20)&gt;0,L13*('4.Cost of Goods-Svcs Sold'!$H$17+'4.Cost of Goods-Svcs Sold'!$H$20),0)</f>
        <v>0</v>
      </c>
      <c r="M327" s="270">
        <f>IF(M13*('4.Cost of Goods-Svcs Sold'!$H$17+'4.Cost of Goods-Svcs Sold'!$H$20)&gt;0,M13*('4.Cost of Goods-Svcs Sold'!$H$17+'4.Cost of Goods-Svcs Sold'!$H$20),0)</f>
        <v>0</v>
      </c>
      <c r="N327" s="270">
        <f>IF(N13*('4.Cost of Goods-Svcs Sold'!$H$17+'4.Cost of Goods-Svcs Sold'!$H$20)&gt;0,N13*('4.Cost of Goods-Svcs Sold'!$H$17+'4.Cost of Goods-Svcs Sold'!$H$20),0)</f>
        <v>0</v>
      </c>
      <c r="O327" s="270">
        <f>IF(O13*('4.Cost of Goods-Svcs Sold'!$H$17+'4.Cost of Goods-Svcs Sold'!$H$20)&gt;0,O13*('4.Cost of Goods-Svcs Sold'!$H$17+'4.Cost of Goods-Svcs Sold'!$H$20),0)</f>
        <v>0</v>
      </c>
      <c r="P327" s="270">
        <f>IF(P13*('4.Cost of Goods-Svcs Sold'!$H$17+'4.Cost of Goods-Svcs Sold'!$H$20)&gt;0,P13*('4.Cost of Goods-Svcs Sold'!$H$17+'4.Cost of Goods-Svcs Sold'!$H$20),0)</f>
        <v>0</v>
      </c>
      <c r="Q327" s="270">
        <f>IF(Q13*('4.Cost of Goods-Svcs Sold'!$H$17+'4.Cost of Goods-Svcs Sold'!$H$20)&gt;0,Q13*('4.Cost of Goods-Svcs Sold'!$H$17+'4.Cost of Goods-Svcs Sold'!$H$20),0)</f>
        <v>0</v>
      </c>
      <c r="R327" s="270">
        <f>IF(R13*('4.Cost of Goods-Svcs Sold'!$H$17+'4.Cost of Goods-Svcs Sold'!$H$20)&gt;0,R13*('4.Cost of Goods-Svcs Sold'!$H$17+'4.Cost of Goods-Svcs Sold'!$H$20),0)</f>
        <v>0</v>
      </c>
      <c r="S327" s="270">
        <f>IF(S13*('4.Cost of Goods-Svcs Sold'!$H$17+'4.Cost of Goods-Svcs Sold'!$H$20)&gt;0,S13*('4.Cost of Goods-Svcs Sold'!$H$17+'4.Cost of Goods-Svcs Sold'!$H$20),0)</f>
        <v>0</v>
      </c>
    </row>
    <row r="329" spans="1:19">
      <c r="B329" t="str">
        <f>+A26</f>
        <v>Product/Service 8</v>
      </c>
      <c r="E329" s="3" t="s">
        <v>376</v>
      </c>
      <c r="H329" s="270">
        <f>IF(H36*('4.Cost of Goods-Svcs Sold'!$K$17+'4.Cost of Goods-Svcs Sold'!$K$20)&gt;0,H36*('4.Cost of Goods-Svcs Sold'!$K$17+'4.Cost of Goods-Svcs Sold'!$K$20),0)</f>
        <v>0</v>
      </c>
      <c r="I329" s="270">
        <f>IF(I36*('4.Cost of Goods-Svcs Sold'!$K$17+'4.Cost of Goods-Svcs Sold'!$K$20)&gt;0,I36*('4.Cost of Goods-Svcs Sold'!$K$17+'4.Cost of Goods-Svcs Sold'!$K$20),0)</f>
        <v>0</v>
      </c>
      <c r="J329" s="270">
        <f>IF(J36*('4.Cost of Goods-Svcs Sold'!$K$17+'4.Cost of Goods-Svcs Sold'!$K$20)&gt;0,J36*('4.Cost of Goods-Svcs Sold'!$K$17+'4.Cost of Goods-Svcs Sold'!$K$20),0)</f>
        <v>0</v>
      </c>
      <c r="K329" s="270">
        <f>IF(K36*('4.Cost of Goods-Svcs Sold'!$K$17+'4.Cost of Goods-Svcs Sold'!$K$20)&gt;0,K36*('4.Cost of Goods-Svcs Sold'!$K$17+'4.Cost of Goods-Svcs Sold'!$K$20),0)</f>
        <v>0</v>
      </c>
      <c r="L329" s="270">
        <f>IF(L36*('4.Cost of Goods-Svcs Sold'!$K$17+'4.Cost of Goods-Svcs Sold'!$K$20)&gt;0,L36*('4.Cost of Goods-Svcs Sold'!$K$17+'4.Cost of Goods-Svcs Sold'!$K$20),0)</f>
        <v>0</v>
      </c>
      <c r="M329" s="270">
        <f>IF(M36*('4.Cost of Goods-Svcs Sold'!$K$17+'4.Cost of Goods-Svcs Sold'!$K$20)&gt;0,M36*('4.Cost of Goods-Svcs Sold'!$K$17+'4.Cost of Goods-Svcs Sold'!$K$20),0)</f>
        <v>0</v>
      </c>
      <c r="N329" s="270">
        <f>IF(N36*('4.Cost of Goods-Svcs Sold'!$K$17+'4.Cost of Goods-Svcs Sold'!$K$20)&gt;0,N36*('4.Cost of Goods-Svcs Sold'!$K$17+'4.Cost of Goods-Svcs Sold'!$K$20),0)</f>
        <v>0</v>
      </c>
      <c r="O329" s="270">
        <f>IF(O36*('4.Cost of Goods-Svcs Sold'!$K$17+'4.Cost of Goods-Svcs Sold'!$K$20)&gt;0,O36*('4.Cost of Goods-Svcs Sold'!$K$17+'4.Cost of Goods-Svcs Sold'!$K$20),0)</f>
        <v>0</v>
      </c>
      <c r="P329" s="270">
        <f>IF(P36*('4.Cost of Goods-Svcs Sold'!$K$17+'4.Cost of Goods-Svcs Sold'!$K$20)&gt;0,P36*('4.Cost of Goods-Svcs Sold'!$K$17+'4.Cost of Goods-Svcs Sold'!$K$20),0)</f>
        <v>0</v>
      </c>
      <c r="Q329" s="270">
        <f>IF(Q36*('4.Cost of Goods-Svcs Sold'!$K$17+'4.Cost of Goods-Svcs Sold'!$K$20)&gt;0,Q36*('4.Cost of Goods-Svcs Sold'!$K$17+'4.Cost of Goods-Svcs Sold'!$K$20),0)</f>
        <v>0</v>
      </c>
      <c r="R329" s="270">
        <f>IF(R36*('4.Cost of Goods-Svcs Sold'!$K$17+'4.Cost of Goods-Svcs Sold'!$K$20)&gt;0,R36*('4.Cost of Goods-Svcs Sold'!$K$17+'4.Cost of Goods-Svcs Sold'!$K$20),0)</f>
        <v>0</v>
      </c>
      <c r="S329" s="270">
        <f>IF(S36*('4.Cost of Goods-Svcs Sold'!$K$17+'4.Cost of Goods-Svcs Sold'!$K$20)&gt;0,S36*('4.Cost of Goods-Svcs Sold'!$K$17+'4.Cost of Goods-Svcs Sold'!$K$20),0)</f>
        <v>0</v>
      </c>
    </row>
    <row r="330" spans="1:19">
      <c r="E330" s="3" t="s">
        <v>377</v>
      </c>
      <c r="H330" s="270">
        <f>IF(H37*('4.Cost of Goods-Svcs Sold'!$K$17+'4.Cost of Goods-Svcs Sold'!$K$20)&gt;0,H37*('4.Cost of Goods-Svcs Sold'!$K$17+'4.Cost of Goods-Svcs Sold'!$K$20),0)</f>
        <v>0</v>
      </c>
      <c r="I330" s="270">
        <f>IF(I37*('4.Cost of Goods-Svcs Sold'!$K$17+'4.Cost of Goods-Svcs Sold'!$K$20)&gt;0,I37*('4.Cost of Goods-Svcs Sold'!$K$17+'4.Cost of Goods-Svcs Sold'!$K$20),0)</f>
        <v>0</v>
      </c>
      <c r="J330" s="270">
        <f>IF(J37*('4.Cost of Goods-Svcs Sold'!$K$17+'4.Cost of Goods-Svcs Sold'!$K$20)&gt;0,J37*('4.Cost of Goods-Svcs Sold'!$K$17+'4.Cost of Goods-Svcs Sold'!$K$20),0)</f>
        <v>0</v>
      </c>
      <c r="K330" s="270">
        <f>IF(K37*('4.Cost of Goods-Svcs Sold'!$K$17+'4.Cost of Goods-Svcs Sold'!$K$20)&gt;0,K37*('4.Cost of Goods-Svcs Sold'!$K$17+'4.Cost of Goods-Svcs Sold'!$K$20),0)</f>
        <v>0</v>
      </c>
      <c r="L330" s="270">
        <f>IF(L37*('4.Cost of Goods-Svcs Sold'!$K$17+'4.Cost of Goods-Svcs Sold'!$K$20)&gt;0,L37*('4.Cost of Goods-Svcs Sold'!$K$17+'4.Cost of Goods-Svcs Sold'!$K$20),0)</f>
        <v>0</v>
      </c>
      <c r="M330" s="270">
        <f>IF(M37*('4.Cost of Goods-Svcs Sold'!$K$17+'4.Cost of Goods-Svcs Sold'!$K$20)&gt;0,M37*('4.Cost of Goods-Svcs Sold'!$K$17+'4.Cost of Goods-Svcs Sold'!$K$20),0)</f>
        <v>0</v>
      </c>
      <c r="N330" s="270">
        <f>IF(N37*('4.Cost of Goods-Svcs Sold'!$K$17+'4.Cost of Goods-Svcs Sold'!$K$20)&gt;0,N37*('4.Cost of Goods-Svcs Sold'!$K$17+'4.Cost of Goods-Svcs Sold'!$K$20),0)</f>
        <v>0</v>
      </c>
      <c r="O330" s="270">
        <f>IF(O37*('4.Cost of Goods-Svcs Sold'!$K$17+'4.Cost of Goods-Svcs Sold'!$K$20)&gt;0,O37*('4.Cost of Goods-Svcs Sold'!$K$17+'4.Cost of Goods-Svcs Sold'!$K$20),0)</f>
        <v>0</v>
      </c>
      <c r="P330" s="270">
        <f>IF(P37*('4.Cost of Goods-Svcs Sold'!$K$17+'4.Cost of Goods-Svcs Sold'!$K$20)&gt;0,P37*('4.Cost of Goods-Svcs Sold'!$K$17+'4.Cost of Goods-Svcs Sold'!$K$20),0)</f>
        <v>0</v>
      </c>
      <c r="Q330" s="270">
        <f>IF(Q37*('4.Cost of Goods-Svcs Sold'!$K$17+'4.Cost of Goods-Svcs Sold'!$K$20)&gt;0,Q37*('4.Cost of Goods-Svcs Sold'!$K$17+'4.Cost of Goods-Svcs Sold'!$K$20),0)</f>
        <v>0</v>
      </c>
      <c r="R330" s="270">
        <f>IF(R37*('4.Cost of Goods-Svcs Sold'!$K$17+'4.Cost of Goods-Svcs Sold'!$K$20)&gt;0,R37*('4.Cost of Goods-Svcs Sold'!$K$17+'4.Cost of Goods-Svcs Sold'!$K$20),0)</f>
        <v>0</v>
      </c>
      <c r="S330" s="270">
        <f>IF(S37*('4.Cost of Goods-Svcs Sold'!$K$17+'4.Cost of Goods-Svcs Sold'!$K$20)&gt;0,S37*('4.Cost of Goods-Svcs Sold'!$K$17+'4.Cost of Goods-Svcs Sold'!$K$20),0)</f>
        <v>0</v>
      </c>
    </row>
    <row r="331" spans="1:19">
      <c r="E331" s="3" t="s">
        <v>378</v>
      </c>
      <c r="H331" s="270">
        <f>IF(H38*('4.Cost of Goods-Svcs Sold'!$K$17+'4.Cost of Goods-Svcs Sold'!$K$20)&gt;0,H38*('4.Cost of Goods-Svcs Sold'!$K$17+'4.Cost of Goods-Svcs Sold'!$K$20),0)</f>
        <v>0</v>
      </c>
      <c r="I331" s="270">
        <f>IF(I38*('4.Cost of Goods-Svcs Sold'!$K$17+'4.Cost of Goods-Svcs Sold'!$K$20)&gt;0,I38*('4.Cost of Goods-Svcs Sold'!$K$17+'4.Cost of Goods-Svcs Sold'!$K$20),0)</f>
        <v>0</v>
      </c>
      <c r="J331" s="270">
        <f>IF(J38*('4.Cost of Goods-Svcs Sold'!$K$17+'4.Cost of Goods-Svcs Sold'!$K$20)&gt;0,J38*('4.Cost of Goods-Svcs Sold'!$K$17+'4.Cost of Goods-Svcs Sold'!$K$20),0)</f>
        <v>0</v>
      </c>
      <c r="K331" s="270">
        <f>IF(K38*('4.Cost of Goods-Svcs Sold'!$K$17+'4.Cost of Goods-Svcs Sold'!$K$20)&gt;0,K38*('4.Cost of Goods-Svcs Sold'!$K$17+'4.Cost of Goods-Svcs Sold'!$K$20),0)</f>
        <v>0</v>
      </c>
      <c r="L331" s="270">
        <f>IF(L38*('4.Cost of Goods-Svcs Sold'!$K$17+'4.Cost of Goods-Svcs Sold'!$K$20)&gt;0,L38*('4.Cost of Goods-Svcs Sold'!$K$17+'4.Cost of Goods-Svcs Sold'!$K$20),0)</f>
        <v>0</v>
      </c>
      <c r="M331" s="270">
        <f>IF(M38*('4.Cost of Goods-Svcs Sold'!$K$17+'4.Cost of Goods-Svcs Sold'!$K$20)&gt;0,M38*('4.Cost of Goods-Svcs Sold'!$K$17+'4.Cost of Goods-Svcs Sold'!$K$20),0)</f>
        <v>0</v>
      </c>
      <c r="N331" s="270">
        <f>IF(N38*('4.Cost of Goods-Svcs Sold'!$K$17+'4.Cost of Goods-Svcs Sold'!$K$20)&gt;0,N38*('4.Cost of Goods-Svcs Sold'!$K$17+'4.Cost of Goods-Svcs Sold'!$K$20),0)</f>
        <v>0</v>
      </c>
      <c r="O331" s="270">
        <f>IF(O38*('4.Cost of Goods-Svcs Sold'!$K$17+'4.Cost of Goods-Svcs Sold'!$K$20)&gt;0,O38*('4.Cost of Goods-Svcs Sold'!$K$17+'4.Cost of Goods-Svcs Sold'!$K$20),0)</f>
        <v>0</v>
      </c>
      <c r="P331" s="270">
        <f>IF(P38*('4.Cost of Goods-Svcs Sold'!$K$17+'4.Cost of Goods-Svcs Sold'!$K$20)&gt;0,P38*('4.Cost of Goods-Svcs Sold'!$K$17+'4.Cost of Goods-Svcs Sold'!$K$20),0)</f>
        <v>0</v>
      </c>
      <c r="Q331" s="270">
        <f>IF(Q38*('4.Cost of Goods-Svcs Sold'!$K$17+'4.Cost of Goods-Svcs Sold'!$K$20)&gt;0,Q38*('4.Cost of Goods-Svcs Sold'!$K$17+'4.Cost of Goods-Svcs Sold'!$K$20),0)</f>
        <v>0</v>
      </c>
      <c r="R331" s="270">
        <f>IF(R38*('4.Cost of Goods-Svcs Sold'!$K$17+'4.Cost of Goods-Svcs Sold'!$K$20)&gt;0,R38*('4.Cost of Goods-Svcs Sold'!$K$17+'4.Cost of Goods-Svcs Sold'!$K$20),0)</f>
        <v>0</v>
      </c>
      <c r="S331" s="270">
        <f>IF(S38*('4.Cost of Goods-Svcs Sold'!$K$17+'4.Cost of Goods-Svcs Sold'!$K$20)&gt;0,S38*('4.Cost of Goods-Svcs Sold'!$K$17+'4.Cost of Goods-Svcs Sold'!$K$20),0)</f>
        <v>0</v>
      </c>
    </row>
    <row r="333" spans="1:19">
      <c r="B333" t="str">
        <f>+A47</f>
        <v>Product/Service 9</v>
      </c>
      <c r="E333" s="3" t="s">
        <v>376</v>
      </c>
      <c r="H333" s="270">
        <f>IF(H53*('4.Cost of Goods-Svcs Sold'!$B$27+'4.Cost of Goods-Svcs Sold'!$B$30)&gt;0,H53*('4.Cost of Goods-Svcs Sold'!$B$27+'4.Cost of Goods-Svcs Sold'!$B$30),0)</f>
        <v>0</v>
      </c>
      <c r="I333" s="270">
        <f>IF(I53*('4.Cost of Goods-Svcs Sold'!$B$27+'4.Cost of Goods-Svcs Sold'!$B$30)&gt;0,I53*('4.Cost of Goods-Svcs Sold'!$B$27+'4.Cost of Goods-Svcs Sold'!$B$30),0)</f>
        <v>0</v>
      </c>
      <c r="J333" s="270">
        <f>IF(J53*('4.Cost of Goods-Svcs Sold'!$B$27+'4.Cost of Goods-Svcs Sold'!$B$30)&gt;0,J53*('4.Cost of Goods-Svcs Sold'!$B$27+'4.Cost of Goods-Svcs Sold'!$B$30),0)</f>
        <v>0</v>
      </c>
      <c r="K333" s="270">
        <f>IF(K53*('4.Cost of Goods-Svcs Sold'!$B$27+'4.Cost of Goods-Svcs Sold'!$B$30)&gt;0,K53*('4.Cost of Goods-Svcs Sold'!$B$27+'4.Cost of Goods-Svcs Sold'!$B$30),0)</f>
        <v>0</v>
      </c>
      <c r="L333" s="270">
        <f>IF(L53*('4.Cost of Goods-Svcs Sold'!$B$27+'4.Cost of Goods-Svcs Sold'!$B$30)&gt;0,L53*('4.Cost of Goods-Svcs Sold'!$B$27+'4.Cost of Goods-Svcs Sold'!$B$30),0)</f>
        <v>0</v>
      </c>
      <c r="M333" s="270">
        <f>IF(M53*('4.Cost of Goods-Svcs Sold'!$B$27+'4.Cost of Goods-Svcs Sold'!$B$30)&gt;0,M53*('4.Cost of Goods-Svcs Sold'!$B$27+'4.Cost of Goods-Svcs Sold'!$B$30),0)</f>
        <v>0</v>
      </c>
      <c r="N333" s="270">
        <f>IF(N53*('4.Cost of Goods-Svcs Sold'!$B$27+'4.Cost of Goods-Svcs Sold'!$B$30)&gt;0,N53*('4.Cost of Goods-Svcs Sold'!$B$27+'4.Cost of Goods-Svcs Sold'!$B$30),0)</f>
        <v>0</v>
      </c>
      <c r="O333" s="270">
        <f>IF(O53*('4.Cost of Goods-Svcs Sold'!$B$27+'4.Cost of Goods-Svcs Sold'!$B$30)&gt;0,O53*('4.Cost of Goods-Svcs Sold'!$B$27+'4.Cost of Goods-Svcs Sold'!$B$30),0)</f>
        <v>0</v>
      </c>
      <c r="P333" s="270">
        <f>IF(P53*('4.Cost of Goods-Svcs Sold'!$B$27+'4.Cost of Goods-Svcs Sold'!$B$30)&gt;0,P53*('4.Cost of Goods-Svcs Sold'!$B$27+'4.Cost of Goods-Svcs Sold'!$B$30),0)</f>
        <v>0</v>
      </c>
      <c r="Q333" s="270">
        <f>IF(Q53*('4.Cost of Goods-Svcs Sold'!$B$27+'4.Cost of Goods-Svcs Sold'!$B$30)&gt;0,Q53*('4.Cost of Goods-Svcs Sold'!$B$27+'4.Cost of Goods-Svcs Sold'!$B$30),0)</f>
        <v>0</v>
      </c>
      <c r="R333" s="270">
        <f>IF(R53*('4.Cost of Goods-Svcs Sold'!$B$27+'4.Cost of Goods-Svcs Sold'!$B$30)&gt;0,R53*('4.Cost of Goods-Svcs Sold'!$B$27+'4.Cost of Goods-Svcs Sold'!$B$30),0)</f>
        <v>0</v>
      </c>
      <c r="S333" s="270">
        <f>IF(S53*('4.Cost of Goods-Svcs Sold'!$B$27+'4.Cost of Goods-Svcs Sold'!$B$30)&gt;0,S53*('4.Cost of Goods-Svcs Sold'!$B$27+'4.Cost of Goods-Svcs Sold'!$B$30),0)</f>
        <v>0</v>
      </c>
    </row>
    <row r="334" spans="1:19">
      <c r="E334" s="3" t="s">
        <v>377</v>
      </c>
      <c r="H334" s="270">
        <f>IF(H54*('4.Cost of Goods-Svcs Sold'!$B$27+'4.Cost of Goods-Svcs Sold'!$B$30)&gt;0,H54*('4.Cost of Goods-Svcs Sold'!$B$27+'4.Cost of Goods-Svcs Sold'!$B$30),0)</f>
        <v>0</v>
      </c>
      <c r="I334" s="270">
        <f>IF(I54*('4.Cost of Goods-Svcs Sold'!$B$27+'4.Cost of Goods-Svcs Sold'!$B$30)&gt;0,I54*('4.Cost of Goods-Svcs Sold'!$B$27+'4.Cost of Goods-Svcs Sold'!$B$30),0)</f>
        <v>0</v>
      </c>
      <c r="J334" s="270">
        <f>IF(J54*('4.Cost of Goods-Svcs Sold'!$B$27+'4.Cost of Goods-Svcs Sold'!$B$30)&gt;0,J54*('4.Cost of Goods-Svcs Sold'!$B$27+'4.Cost of Goods-Svcs Sold'!$B$30),0)</f>
        <v>0</v>
      </c>
      <c r="K334" s="270">
        <f>IF(K54*('4.Cost of Goods-Svcs Sold'!$B$27+'4.Cost of Goods-Svcs Sold'!$B$30)&gt;0,K54*('4.Cost of Goods-Svcs Sold'!$B$27+'4.Cost of Goods-Svcs Sold'!$B$30),0)</f>
        <v>0</v>
      </c>
      <c r="L334" s="270">
        <f>IF(L54*('4.Cost of Goods-Svcs Sold'!$B$27+'4.Cost of Goods-Svcs Sold'!$B$30)&gt;0,L54*('4.Cost of Goods-Svcs Sold'!$B$27+'4.Cost of Goods-Svcs Sold'!$B$30),0)</f>
        <v>0</v>
      </c>
      <c r="M334" s="270">
        <f>IF(M54*('4.Cost of Goods-Svcs Sold'!$B$27+'4.Cost of Goods-Svcs Sold'!$B$30)&gt;0,M54*('4.Cost of Goods-Svcs Sold'!$B$27+'4.Cost of Goods-Svcs Sold'!$B$30),0)</f>
        <v>0</v>
      </c>
      <c r="N334" s="270">
        <f>IF(N54*('4.Cost of Goods-Svcs Sold'!$B$27+'4.Cost of Goods-Svcs Sold'!$B$30)&gt;0,N54*('4.Cost of Goods-Svcs Sold'!$B$27+'4.Cost of Goods-Svcs Sold'!$B$30),0)</f>
        <v>0</v>
      </c>
      <c r="O334" s="270">
        <f>IF(O54*('4.Cost of Goods-Svcs Sold'!$B$27+'4.Cost of Goods-Svcs Sold'!$B$30)&gt;0,O54*('4.Cost of Goods-Svcs Sold'!$B$27+'4.Cost of Goods-Svcs Sold'!$B$30),0)</f>
        <v>0</v>
      </c>
      <c r="P334" s="270">
        <f>IF(P54*('4.Cost of Goods-Svcs Sold'!$B$27+'4.Cost of Goods-Svcs Sold'!$B$30)&gt;0,P54*('4.Cost of Goods-Svcs Sold'!$B$27+'4.Cost of Goods-Svcs Sold'!$B$30),0)</f>
        <v>0</v>
      </c>
      <c r="Q334" s="270">
        <f>IF(Q54*('4.Cost of Goods-Svcs Sold'!$B$27+'4.Cost of Goods-Svcs Sold'!$B$30)&gt;0,Q54*('4.Cost of Goods-Svcs Sold'!$B$27+'4.Cost of Goods-Svcs Sold'!$B$30),0)</f>
        <v>0</v>
      </c>
      <c r="R334" s="270">
        <f>IF(R54*('4.Cost of Goods-Svcs Sold'!$B$27+'4.Cost of Goods-Svcs Sold'!$B$30)&gt;0,R54*('4.Cost of Goods-Svcs Sold'!$B$27+'4.Cost of Goods-Svcs Sold'!$B$30),0)</f>
        <v>0</v>
      </c>
      <c r="S334" s="270">
        <f>IF(S54*('4.Cost of Goods-Svcs Sold'!$B$27+'4.Cost of Goods-Svcs Sold'!$B$30)&gt;0,S54*('4.Cost of Goods-Svcs Sold'!$B$27+'4.Cost of Goods-Svcs Sold'!$B$30),0)</f>
        <v>0</v>
      </c>
    </row>
    <row r="335" spans="1:19">
      <c r="E335" s="3" t="s">
        <v>378</v>
      </c>
      <c r="H335" s="270">
        <f>IF(H55*('4.Cost of Goods-Svcs Sold'!$B$27+'4.Cost of Goods-Svcs Sold'!$B$30)&gt;0,H55*('4.Cost of Goods-Svcs Sold'!$B$27+'4.Cost of Goods-Svcs Sold'!$B$30),0)</f>
        <v>0</v>
      </c>
      <c r="I335" s="270">
        <f>IF(I55*('4.Cost of Goods-Svcs Sold'!$B$27+'4.Cost of Goods-Svcs Sold'!$B$30)&gt;0,I55*('4.Cost of Goods-Svcs Sold'!$B$27+'4.Cost of Goods-Svcs Sold'!$B$30),0)</f>
        <v>0</v>
      </c>
      <c r="J335" s="270">
        <f>IF(J55*('4.Cost of Goods-Svcs Sold'!$B$27+'4.Cost of Goods-Svcs Sold'!$B$30)&gt;0,J55*('4.Cost of Goods-Svcs Sold'!$B$27+'4.Cost of Goods-Svcs Sold'!$B$30),0)</f>
        <v>0</v>
      </c>
      <c r="K335" s="270">
        <f>IF(K55*('4.Cost of Goods-Svcs Sold'!$B$27+'4.Cost of Goods-Svcs Sold'!$B$30)&gt;0,K55*('4.Cost of Goods-Svcs Sold'!$B$27+'4.Cost of Goods-Svcs Sold'!$B$30),0)</f>
        <v>0</v>
      </c>
      <c r="L335" s="270">
        <f>IF(L55*('4.Cost of Goods-Svcs Sold'!$B$27+'4.Cost of Goods-Svcs Sold'!$B$30)&gt;0,L55*('4.Cost of Goods-Svcs Sold'!$B$27+'4.Cost of Goods-Svcs Sold'!$B$30),0)</f>
        <v>0</v>
      </c>
      <c r="M335" s="270">
        <f>IF(M55*('4.Cost of Goods-Svcs Sold'!$B$27+'4.Cost of Goods-Svcs Sold'!$B$30)&gt;0,M55*('4.Cost of Goods-Svcs Sold'!$B$27+'4.Cost of Goods-Svcs Sold'!$B$30),0)</f>
        <v>0</v>
      </c>
      <c r="N335" s="270">
        <f>IF(N55*('4.Cost of Goods-Svcs Sold'!$B$27+'4.Cost of Goods-Svcs Sold'!$B$30)&gt;0,N55*('4.Cost of Goods-Svcs Sold'!$B$27+'4.Cost of Goods-Svcs Sold'!$B$30),0)</f>
        <v>0</v>
      </c>
      <c r="O335" s="270">
        <f>IF(O55*('4.Cost of Goods-Svcs Sold'!$B$27+'4.Cost of Goods-Svcs Sold'!$B$30)&gt;0,O55*('4.Cost of Goods-Svcs Sold'!$B$27+'4.Cost of Goods-Svcs Sold'!$B$30),0)</f>
        <v>0</v>
      </c>
      <c r="P335" s="270">
        <f>IF(P55*('4.Cost of Goods-Svcs Sold'!$B$27+'4.Cost of Goods-Svcs Sold'!$B$30)&gt;0,P55*('4.Cost of Goods-Svcs Sold'!$B$27+'4.Cost of Goods-Svcs Sold'!$B$30),0)</f>
        <v>0</v>
      </c>
      <c r="Q335" s="270">
        <f>IF(Q55*('4.Cost of Goods-Svcs Sold'!$B$27+'4.Cost of Goods-Svcs Sold'!$B$30)&gt;0,Q55*('4.Cost of Goods-Svcs Sold'!$B$27+'4.Cost of Goods-Svcs Sold'!$B$30),0)</f>
        <v>0</v>
      </c>
      <c r="R335" s="270">
        <f>IF(R55*('4.Cost of Goods-Svcs Sold'!$B$27+'4.Cost of Goods-Svcs Sold'!$B$30)&gt;0,R55*('4.Cost of Goods-Svcs Sold'!$B$27+'4.Cost of Goods-Svcs Sold'!$B$30),0)</f>
        <v>0</v>
      </c>
      <c r="S335" s="270">
        <f>IF(S55*('4.Cost of Goods-Svcs Sold'!$B$27+'4.Cost of Goods-Svcs Sold'!$B$30)&gt;0,S55*('4.Cost of Goods-Svcs Sold'!$B$27+'4.Cost of Goods-Svcs Sold'!$B$30),0)</f>
        <v>0</v>
      </c>
    </row>
    <row r="337" spans="2:19">
      <c r="B337" t="str">
        <f>+A68</f>
        <v>Product/Service 10</v>
      </c>
      <c r="E337" s="3" t="s">
        <v>376</v>
      </c>
      <c r="H337" s="270">
        <f>IF(H74*('4.Cost of Goods-Svcs Sold'!$E$27+'4.Cost of Goods-Svcs Sold'!$E$30)&gt;0,H74*('4.Cost of Goods-Svcs Sold'!$E$27+'4.Cost of Goods-Svcs Sold'!$E$30),0)</f>
        <v>0</v>
      </c>
      <c r="I337" s="270">
        <f>IF(I74*('4.Cost of Goods-Svcs Sold'!$E$27+'4.Cost of Goods-Svcs Sold'!$E$30)&gt;0,I74*('4.Cost of Goods-Svcs Sold'!$E$27+'4.Cost of Goods-Svcs Sold'!$E$30),0)</f>
        <v>0</v>
      </c>
      <c r="J337" s="270">
        <f>IF(J74*('4.Cost of Goods-Svcs Sold'!$E$27+'4.Cost of Goods-Svcs Sold'!$E$30)&gt;0,J74*('4.Cost of Goods-Svcs Sold'!$E$27+'4.Cost of Goods-Svcs Sold'!$E$30),0)</f>
        <v>0</v>
      </c>
      <c r="K337" s="270">
        <f>IF(K74*('4.Cost of Goods-Svcs Sold'!$E$27+'4.Cost of Goods-Svcs Sold'!$E$30)&gt;0,K74*('4.Cost of Goods-Svcs Sold'!$E$27+'4.Cost of Goods-Svcs Sold'!$E$30),0)</f>
        <v>0</v>
      </c>
      <c r="L337" s="270">
        <f>IF(L74*('4.Cost of Goods-Svcs Sold'!$E$27+'4.Cost of Goods-Svcs Sold'!$E$30)&gt;0,L74*('4.Cost of Goods-Svcs Sold'!$E$27+'4.Cost of Goods-Svcs Sold'!$E$30),0)</f>
        <v>0</v>
      </c>
      <c r="M337" s="270">
        <f>IF(M74*('4.Cost of Goods-Svcs Sold'!$E$27+'4.Cost of Goods-Svcs Sold'!$E$30)&gt;0,M74*('4.Cost of Goods-Svcs Sold'!$E$27+'4.Cost of Goods-Svcs Sold'!$E$30),0)</f>
        <v>0</v>
      </c>
      <c r="N337" s="270">
        <f>IF(N74*('4.Cost of Goods-Svcs Sold'!$E$27+'4.Cost of Goods-Svcs Sold'!$E$30)&gt;0,N74*('4.Cost of Goods-Svcs Sold'!$E$27+'4.Cost of Goods-Svcs Sold'!$E$30),0)</f>
        <v>0</v>
      </c>
      <c r="O337" s="270">
        <f>IF(O74*('4.Cost of Goods-Svcs Sold'!$E$27+'4.Cost of Goods-Svcs Sold'!$E$30)&gt;0,O74*('4.Cost of Goods-Svcs Sold'!$E$27+'4.Cost of Goods-Svcs Sold'!$E$30),0)</f>
        <v>0</v>
      </c>
      <c r="P337" s="270">
        <f>IF(P74*('4.Cost of Goods-Svcs Sold'!$E$27+'4.Cost of Goods-Svcs Sold'!$E$30)&gt;0,P74*('4.Cost of Goods-Svcs Sold'!$E$27+'4.Cost of Goods-Svcs Sold'!$E$30),0)</f>
        <v>0</v>
      </c>
      <c r="Q337" s="270">
        <f>IF(Q74*('4.Cost of Goods-Svcs Sold'!$E$27+'4.Cost of Goods-Svcs Sold'!$E$30)&gt;0,Q74*('4.Cost of Goods-Svcs Sold'!$E$27+'4.Cost of Goods-Svcs Sold'!$E$30),0)</f>
        <v>0</v>
      </c>
      <c r="R337" s="270">
        <f>IF(R74*('4.Cost of Goods-Svcs Sold'!$E$27+'4.Cost of Goods-Svcs Sold'!$E$30)&gt;0,R74*('4.Cost of Goods-Svcs Sold'!$E$27+'4.Cost of Goods-Svcs Sold'!$E$30),0)</f>
        <v>0</v>
      </c>
      <c r="S337" s="270">
        <f>IF(S74*('4.Cost of Goods-Svcs Sold'!$E$27+'4.Cost of Goods-Svcs Sold'!$E$30)&gt;0,S74*('4.Cost of Goods-Svcs Sold'!$E$27+'4.Cost of Goods-Svcs Sold'!$E$30),0)</f>
        <v>0</v>
      </c>
    </row>
    <row r="338" spans="2:19">
      <c r="E338" s="3" t="s">
        <v>377</v>
      </c>
      <c r="H338" s="270">
        <f>IF(H75*('4.Cost of Goods-Svcs Sold'!$E$27+'4.Cost of Goods-Svcs Sold'!$E$30)&gt;0,H75*('4.Cost of Goods-Svcs Sold'!$E$27+'4.Cost of Goods-Svcs Sold'!$E$30),0)</f>
        <v>0</v>
      </c>
      <c r="I338" s="270">
        <f>IF(I75*('4.Cost of Goods-Svcs Sold'!$E$27+'4.Cost of Goods-Svcs Sold'!$E$30)&gt;0,I75*('4.Cost of Goods-Svcs Sold'!$E$27+'4.Cost of Goods-Svcs Sold'!$E$30),0)</f>
        <v>0</v>
      </c>
      <c r="J338" s="270">
        <f>IF(J75*('4.Cost of Goods-Svcs Sold'!$E$27+'4.Cost of Goods-Svcs Sold'!$E$30)&gt;0,J75*('4.Cost of Goods-Svcs Sold'!$E$27+'4.Cost of Goods-Svcs Sold'!$E$30),0)</f>
        <v>0</v>
      </c>
      <c r="K338" s="270">
        <f>IF(K75*('4.Cost of Goods-Svcs Sold'!$E$27+'4.Cost of Goods-Svcs Sold'!$E$30)&gt;0,K75*('4.Cost of Goods-Svcs Sold'!$E$27+'4.Cost of Goods-Svcs Sold'!$E$30),0)</f>
        <v>0</v>
      </c>
      <c r="L338" s="270">
        <f>IF(L75*('4.Cost of Goods-Svcs Sold'!$E$27+'4.Cost of Goods-Svcs Sold'!$E$30)&gt;0,L75*('4.Cost of Goods-Svcs Sold'!$E$27+'4.Cost of Goods-Svcs Sold'!$E$30),0)</f>
        <v>0</v>
      </c>
      <c r="M338" s="270">
        <f>IF(M75*('4.Cost of Goods-Svcs Sold'!$E$27+'4.Cost of Goods-Svcs Sold'!$E$30)&gt;0,M75*('4.Cost of Goods-Svcs Sold'!$E$27+'4.Cost of Goods-Svcs Sold'!$E$30),0)</f>
        <v>0</v>
      </c>
      <c r="N338" s="270">
        <f>IF(N75*('4.Cost of Goods-Svcs Sold'!$E$27+'4.Cost of Goods-Svcs Sold'!$E$30)&gt;0,N75*('4.Cost of Goods-Svcs Sold'!$E$27+'4.Cost of Goods-Svcs Sold'!$E$30),0)</f>
        <v>0</v>
      </c>
      <c r="O338" s="270">
        <f>IF(O75*('4.Cost of Goods-Svcs Sold'!$E$27+'4.Cost of Goods-Svcs Sold'!$E$30)&gt;0,O75*('4.Cost of Goods-Svcs Sold'!$E$27+'4.Cost of Goods-Svcs Sold'!$E$30),0)</f>
        <v>0</v>
      </c>
      <c r="P338" s="270">
        <f>IF(P75*('4.Cost of Goods-Svcs Sold'!$E$27+'4.Cost of Goods-Svcs Sold'!$E$30)&gt;0,P75*('4.Cost of Goods-Svcs Sold'!$E$27+'4.Cost of Goods-Svcs Sold'!$E$30),0)</f>
        <v>0</v>
      </c>
      <c r="Q338" s="270">
        <f>IF(Q75*('4.Cost of Goods-Svcs Sold'!$E$27+'4.Cost of Goods-Svcs Sold'!$E$30)&gt;0,Q75*('4.Cost of Goods-Svcs Sold'!$E$27+'4.Cost of Goods-Svcs Sold'!$E$30),0)</f>
        <v>0</v>
      </c>
      <c r="R338" s="270">
        <f>IF(R75*('4.Cost of Goods-Svcs Sold'!$E$27+'4.Cost of Goods-Svcs Sold'!$E$30)&gt;0,R75*('4.Cost of Goods-Svcs Sold'!$E$27+'4.Cost of Goods-Svcs Sold'!$E$30),0)</f>
        <v>0</v>
      </c>
      <c r="S338" s="270">
        <f>IF(S75*('4.Cost of Goods-Svcs Sold'!$E$27+'4.Cost of Goods-Svcs Sold'!$E$30)&gt;0,S75*('4.Cost of Goods-Svcs Sold'!$E$27+'4.Cost of Goods-Svcs Sold'!$E$30),0)</f>
        <v>0</v>
      </c>
    </row>
    <row r="339" spans="2:19">
      <c r="E339" s="3" t="s">
        <v>378</v>
      </c>
      <c r="H339" s="270">
        <f>IF(H76*('4.Cost of Goods-Svcs Sold'!$E$27+'4.Cost of Goods-Svcs Sold'!$E$30)&gt;0,H76*('4.Cost of Goods-Svcs Sold'!$E$27+'4.Cost of Goods-Svcs Sold'!$E$30),0)</f>
        <v>0</v>
      </c>
      <c r="I339" s="270">
        <f>IF(I76*('4.Cost of Goods-Svcs Sold'!$E$27+'4.Cost of Goods-Svcs Sold'!$E$30)&gt;0,I76*('4.Cost of Goods-Svcs Sold'!$E$27+'4.Cost of Goods-Svcs Sold'!$E$30),0)</f>
        <v>0</v>
      </c>
      <c r="J339" s="270">
        <f>IF(J76*('4.Cost of Goods-Svcs Sold'!$E$27+'4.Cost of Goods-Svcs Sold'!$E$30)&gt;0,J76*('4.Cost of Goods-Svcs Sold'!$E$27+'4.Cost of Goods-Svcs Sold'!$E$30),0)</f>
        <v>0</v>
      </c>
      <c r="K339" s="270">
        <f>IF(K76*('4.Cost of Goods-Svcs Sold'!$E$27+'4.Cost of Goods-Svcs Sold'!$E$30)&gt;0,K76*('4.Cost of Goods-Svcs Sold'!$E$27+'4.Cost of Goods-Svcs Sold'!$E$30),0)</f>
        <v>0</v>
      </c>
      <c r="L339" s="270">
        <f>IF(L76*('4.Cost of Goods-Svcs Sold'!$E$27+'4.Cost of Goods-Svcs Sold'!$E$30)&gt;0,L76*('4.Cost of Goods-Svcs Sold'!$E$27+'4.Cost of Goods-Svcs Sold'!$E$30),0)</f>
        <v>0</v>
      </c>
      <c r="M339" s="270">
        <f>IF(M76*('4.Cost of Goods-Svcs Sold'!$E$27+'4.Cost of Goods-Svcs Sold'!$E$30)&gt;0,M76*('4.Cost of Goods-Svcs Sold'!$E$27+'4.Cost of Goods-Svcs Sold'!$E$30),0)</f>
        <v>0</v>
      </c>
      <c r="N339" s="270">
        <f>IF(N76*('4.Cost of Goods-Svcs Sold'!$E$27+'4.Cost of Goods-Svcs Sold'!$E$30)&gt;0,N76*('4.Cost of Goods-Svcs Sold'!$E$27+'4.Cost of Goods-Svcs Sold'!$E$30),0)</f>
        <v>0</v>
      </c>
      <c r="O339" s="270">
        <f>IF(O76*('4.Cost of Goods-Svcs Sold'!$E$27+'4.Cost of Goods-Svcs Sold'!$E$30)&gt;0,O76*('4.Cost of Goods-Svcs Sold'!$E$27+'4.Cost of Goods-Svcs Sold'!$E$30),0)</f>
        <v>0</v>
      </c>
      <c r="P339" s="270">
        <f>IF(P76*('4.Cost of Goods-Svcs Sold'!$E$27+'4.Cost of Goods-Svcs Sold'!$E$30)&gt;0,P76*('4.Cost of Goods-Svcs Sold'!$E$27+'4.Cost of Goods-Svcs Sold'!$E$30),0)</f>
        <v>0</v>
      </c>
      <c r="Q339" s="270">
        <f>IF(Q76*('4.Cost of Goods-Svcs Sold'!$E$27+'4.Cost of Goods-Svcs Sold'!$E$30)&gt;0,Q76*('4.Cost of Goods-Svcs Sold'!$E$27+'4.Cost of Goods-Svcs Sold'!$E$30),0)</f>
        <v>0</v>
      </c>
      <c r="R339" s="270">
        <f>IF(R76*('4.Cost of Goods-Svcs Sold'!$E$27+'4.Cost of Goods-Svcs Sold'!$E$30)&gt;0,R76*('4.Cost of Goods-Svcs Sold'!$E$27+'4.Cost of Goods-Svcs Sold'!$E$30),0)</f>
        <v>0</v>
      </c>
      <c r="S339" s="270">
        <f>IF(S76*('4.Cost of Goods-Svcs Sold'!$E$27+'4.Cost of Goods-Svcs Sold'!$E$30)&gt;0,S76*('4.Cost of Goods-Svcs Sold'!$E$27+'4.Cost of Goods-Svcs Sold'!$E$30),0)</f>
        <v>0</v>
      </c>
    </row>
    <row r="341" spans="2:19">
      <c r="B341" t="str">
        <f>+A89</f>
        <v>Product/Service 11</v>
      </c>
      <c r="E341" s="3" t="s">
        <v>376</v>
      </c>
      <c r="H341" s="270">
        <f>IF(H95*('4.Cost of Goods-Svcs Sold'!$K$27+'4.Cost of Goods-Svcs Sold'!$H$30)&gt;0,H95*('4.Cost of Goods-Svcs Sold'!$K$27+'4.Cost of Goods-Svcs Sold'!$H$30),0)</f>
        <v>0</v>
      </c>
      <c r="I341" s="270">
        <f>IF(I95*('4.Cost of Goods-Svcs Sold'!$K$27+'4.Cost of Goods-Svcs Sold'!$H$30)&gt;0,I95*('4.Cost of Goods-Svcs Sold'!$K$27+'4.Cost of Goods-Svcs Sold'!$H$30),0)</f>
        <v>0</v>
      </c>
      <c r="J341" s="270">
        <f>IF(J95*('4.Cost of Goods-Svcs Sold'!$K$27+'4.Cost of Goods-Svcs Sold'!$H$30)&gt;0,J95*('4.Cost of Goods-Svcs Sold'!$K$27+'4.Cost of Goods-Svcs Sold'!$H$30),0)</f>
        <v>0</v>
      </c>
      <c r="K341" s="270">
        <f>IF(K95*('4.Cost of Goods-Svcs Sold'!$K$27+'4.Cost of Goods-Svcs Sold'!$H$30)&gt;0,K95*('4.Cost of Goods-Svcs Sold'!$K$27+'4.Cost of Goods-Svcs Sold'!$H$30),0)</f>
        <v>0</v>
      </c>
      <c r="L341" s="270">
        <f>IF(L95*('4.Cost of Goods-Svcs Sold'!$K$27+'4.Cost of Goods-Svcs Sold'!$H$30)&gt;0,L95*('4.Cost of Goods-Svcs Sold'!$K$27+'4.Cost of Goods-Svcs Sold'!$H$30),0)</f>
        <v>0</v>
      </c>
      <c r="M341" s="270">
        <f>IF(M95*('4.Cost of Goods-Svcs Sold'!$K$27+'4.Cost of Goods-Svcs Sold'!$H$30)&gt;0,M95*('4.Cost of Goods-Svcs Sold'!$K$27+'4.Cost of Goods-Svcs Sold'!$H$30),0)</f>
        <v>0</v>
      </c>
      <c r="N341" s="270">
        <f>IF(N95*('4.Cost of Goods-Svcs Sold'!$K$27+'4.Cost of Goods-Svcs Sold'!$H$30)&gt;0,N95*('4.Cost of Goods-Svcs Sold'!$K$27+'4.Cost of Goods-Svcs Sold'!$H$30),0)</f>
        <v>0</v>
      </c>
      <c r="O341" s="270">
        <f>IF(O95*('4.Cost of Goods-Svcs Sold'!$K$27+'4.Cost of Goods-Svcs Sold'!$H$30)&gt;0,O95*('4.Cost of Goods-Svcs Sold'!$K$27+'4.Cost of Goods-Svcs Sold'!$H$30),0)</f>
        <v>0</v>
      </c>
      <c r="P341" s="270">
        <f>IF(P95*('4.Cost of Goods-Svcs Sold'!$K$27+'4.Cost of Goods-Svcs Sold'!$H$30)&gt;0,P95*('4.Cost of Goods-Svcs Sold'!$K$27+'4.Cost of Goods-Svcs Sold'!$H$30),0)</f>
        <v>0</v>
      </c>
      <c r="Q341" s="270">
        <f>IF(Q95*('4.Cost of Goods-Svcs Sold'!$K$27+'4.Cost of Goods-Svcs Sold'!$H$30)&gt;0,Q95*('4.Cost of Goods-Svcs Sold'!$K$27+'4.Cost of Goods-Svcs Sold'!$H$30),0)</f>
        <v>0</v>
      </c>
      <c r="R341" s="270">
        <f>IF(R95*('4.Cost of Goods-Svcs Sold'!$K$27+'4.Cost of Goods-Svcs Sold'!$H$30)&gt;0,R95*('4.Cost of Goods-Svcs Sold'!$K$27+'4.Cost of Goods-Svcs Sold'!$H$30),0)</f>
        <v>0</v>
      </c>
      <c r="S341" s="270">
        <f>IF(S95*('4.Cost of Goods-Svcs Sold'!$K$27+'4.Cost of Goods-Svcs Sold'!$H$30)&gt;0,S95*('4.Cost of Goods-Svcs Sold'!$K$27+'4.Cost of Goods-Svcs Sold'!$H$30),0)</f>
        <v>0</v>
      </c>
    </row>
    <row r="342" spans="2:19">
      <c r="E342" s="3" t="s">
        <v>377</v>
      </c>
      <c r="H342" s="270">
        <f>IF(H96*('4.Cost of Goods-Svcs Sold'!$K$27+'4.Cost of Goods-Svcs Sold'!$H$30)&gt;0,H96*('4.Cost of Goods-Svcs Sold'!$K$27+'4.Cost of Goods-Svcs Sold'!$H$30),0)</f>
        <v>0</v>
      </c>
      <c r="I342" s="270">
        <f>IF(I96*('4.Cost of Goods-Svcs Sold'!$K$27+'4.Cost of Goods-Svcs Sold'!$H$30)&gt;0,I96*('4.Cost of Goods-Svcs Sold'!$K$27+'4.Cost of Goods-Svcs Sold'!$H$30),0)</f>
        <v>0</v>
      </c>
      <c r="J342" s="270">
        <f>IF(J96*('4.Cost of Goods-Svcs Sold'!$K$27+'4.Cost of Goods-Svcs Sold'!$H$30)&gt;0,J96*('4.Cost of Goods-Svcs Sold'!$K$27+'4.Cost of Goods-Svcs Sold'!$H$30),0)</f>
        <v>0</v>
      </c>
      <c r="K342" s="270">
        <f>IF(K96*('4.Cost of Goods-Svcs Sold'!$K$27+'4.Cost of Goods-Svcs Sold'!$H$30)&gt;0,K96*('4.Cost of Goods-Svcs Sold'!$K$27+'4.Cost of Goods-Svcs Sold'!$H$30),0)</f>
        <v>0</v>
      </c>
      <c r="L342" s="270">
        <f>IF(L96*('4.Cost of Goods-Svcs Sold'!$K$27+'4.Cost of Goods-Svcs Sold'!$H$30)&gt;0,L96*('4.Cost of Goods-Svcs Sold'!$K$27+'4.Cost of Goods-Svcs Sold'!$H$30),0)</f>
        <v>0</v>
      </c>
      <c r="M342" s="270">
        <f>IF(M96*('4.Cost of Goods-Svcs Sold'!$K$27+'4.Cost of Goods-Svcs Sold'!$H$30)&gt;0,M96*('4.Cost of Goods-Svcs Sold'!$K$27+'4.Cost of Goods-Svcs Sold'!$H$30),0)</f>
        <v>0</v>
      </c>
      <c r="N342" s="270">
        <f>IF(N96*('4.Cost of Goods-Svcs Sold'!$K$27+'4.Cost of Goods-Svcs Sold'!$H$30)&gt;0,N96*('4.Cost of Goods-Svcs Sold'!$K$27+'4.Cost of Goods-Svcs Sold'!$H$30),0)</f>
        <v>0</v>
      </c>
      <c r="O342" s="270">
        <f>IF(O96*('4.Cost of Goods-Svcs Sold'!$K$27+'4.Cost of Goods-Svcs Sold'!$H$30)&gt;0,O96*('4.Cost of Goods-Svcs Sold'!$K$27+'4.Cost of Goods-Svcs Sold'!$H$30),0)</f>
        <v>0</v>
      </c>
      <c r="P342" s="270">
        <f>IF(P96*('4.Cost of Goods-Svcs Sold'!$K$27+'4.Cost of Goods-Svcs Sold'!$H$30)&gt;0,P96*('4.Cost of Goods-Svcs Sold'!$K$27+'4.Cost of Goods-Svcs Sold'!$H$30),0)</f>
        <v>0</v>
      </c>
      <c r="Q342" s="270">
        <f>IF(Q96*('4.Cost of Goods-Svcs Sold'!$K$27+'4.Cost of Goods-Svcs Sold'!$H$30)&gt;0,Q96*('4.Cost of Goods-Svcs Sold'!$K$27+'4.Cost of Goods-Svcs Sold'!$H$30),0)</f>
        <v>0</v>
      </c>
      <c r="R342" s="270">
        <f>IF(R96*('4.Cost of Goods-Svcs Sold'!$K$27+'4.Cost of Goods-Svcs Sold'!$H$30)&gt;0,R96*('4.Cost of Goods-Svcs Sold'!$K$27+'4.Cost of Goods-Svcs Sold'!$H$30),0)</f>
        <v>0</v>
      </c>
      <c r="S342" s="270">
        <f>IF(S96*('4.Cost of Goods-Svcs Sold'!$K$27+'4.Cost of Goods-Svcs Sold'!$H$30)&gt;0,S96*('4.Cost of Goods-Svcs Sold'!$K$27+'4.Cost of Goods-Svcs Sold'!$H$30),0)</f>
        <v>0</v>
      </c>
    </row>
    <row r="343" spans="2:19">
      <c r="E343" s="3" t="s">
        <v>378</v>
      </c>
      <c r="H343" s="270">
        <f>IF(H97*('4.Cost of Goods-Svcs Sold'!$K$27+'4.Cost of Goods-Svcs Sold'!$H$30)&gt;0,H97*('4.Cost of Goods-Svcs Sold'!$K$27+'4.Cost of Goods-Svcs Sold'!$H$30),0)</f>
        <v>0</v>
      </c>
      <c r="I343" s="270">
        <f>IF(I97*('4.Cost of Goods-Svcs Sold'!$K$27+'4.Cost of Goods-Svcs Sold'!$H$30)&gt;0,I97*('4.Cost of Goods-Svcs Sold'!$K$27+'4.Cost of Goods-Svcs Sold'!$H$30),0)</f>
        <v>0</v>
      </c>
      <c r="J343" s="270">
        <f>IF(J97*('4.Cost of Goods-Svcs Sold'!$K$27+'4.Cost of Goods-Svcs Sold'!$H$30)&gt;0,J97*('4.Cost of Goods-Svcs Sold'!$K$27+'4.Cost of Goods-Svcs Sold'!$H$30),0)</f>
        <v>0</v>
      </c>
      <c r="K343" s="270">
        <f>IF(K97*('4.Cost of Goods-Svcs Sold'!$K$27+'4.Cost of Goods-Svcs Sold'!$H$30)&gt;0,K97*('4.Cost of Goods-Svcs Sold'!$K$27+'4.Cost of Goods-Svcs Sold'!$H$30),0)</f>
        <v>0</v>
      </c>
      <c r="L343" s="270">
        <f>IF(L97*('4.Cost of Goods-Svcs Sold'!$K$27+'4.Cost of Goods-Svcs Sold'!$H$30)&gt;0,L97*('4.Cost of Goods-Svcs Sold'!$K$27+'4.Cost of Goods-Svcs Sold'!$H$30),0)</f>
        <v>0</v>
      </c>
      <c r="M343" s="270">
        <f>IF(M97*('4.Cost of Goods-Svcs Sold'!$K$27+'4.Cost of Goods-Svcs Sold'!$H$30)&gt;0,M97*('4.Cost of Goods-Svcs Sold'!$K$27+'4.Cost of Goods-Svcs Sold'!$H$30),0)</f>
        <v>0</v>
      </c>
      <c r="N343" s="270">
        <f>IF(N97*('4.Cost of Goods-Svcs Sold'!$K$27+'4.Cost of Goods-Svcs Sold'!$H$30)&gt;0,N97*('4.Cost of Goods-Svcs Sold'!$K$27+'4.Cost of Goods-Svcs Sold'!$H$30),0)</f>
        <v>0</v>
      </c>
      <c r="O343" s="270">
        <f>IF(O97*('4.Cost of Goods-Svcs Sold'!$K$27+'4.Cost of Goods-Svcs Sold'!$H$30)&gt;0,O97*('4.Cost of Goods-Svcs Sold'!$K$27+'4.Cost of Goods-Svcs Sold'!$H$30),0)</f>
        <v>0</v>
      </c>
      <c r="P343" s="270">
        <f>IF(P97*('4.Cost of Goods-Svcs Sold'!$K$27+'4.Cost of Goods-Svcs Sold'!$H$30)&gt;0,P97*('4.Cost of Goods-Svcs Sold'!$K$27+'4.Cost of Goods-Svcs Sold'!$H$30),0)</f>
        <v>0</v>
      </c>
      <c r="Q343" s="270">
        <f>IF(Q97*('4.Cost of Goods-Svcs Sold'!$K$27+'4.Cost of Goods-Svcs Sold'!$H$30)&gt;0,Q97*('4.Cost of Goods-Svcs Sold'!$K$27+'4.Cost of Goods-Svcs Sold'!$H$30),0)</f>
        <v>0</v>
      </c>
      <c r="R343" s="270">
        <f>IF(R97*('4.Cost of Goods-Svcs Sold'!$K$27+'4.Cost of Goods-Svcs Sold'!$H$30)&gt;0,R97*('4.Cost of Goods-Svcs Sold'!$K$27+'4.Cost of Goods-Svcs Sold'!$H$30),0)</f>
        <v>0</v>
      </c>
      <c r="S343" s="270">
        <f>IF(S97*('4.Cost of Goods-Svcs Sold'!$K$27+'4.Cost of Goods-Svcs Sold'!$H$30)&gt;0,S97*('4.Cost of Goods-Svcs Sold'!$K$27+'4.Cost of Goods-Svcs Sold'!$H$30),0)</f>
        <v>0</v>
      </c>
    </row>
    <row r="345" spans="2:19">
      <c r="B345" t="str">
        <f>+A110</f>
        <v>Product/Service 12</v>
      </c>
      <c r="E345" s="3" t="s">
        <v>376</v>
      </c>
      <c r="H345" s="270">
        <f>IF(H116*('4.Cost of Goods-Svcs Sold'!$K$27+'4.Cost of Goods-Svcs Sold'!$K$30)&gt;0,H116*('4.Cost of Goods-Svcs Sold'!$K$27+'4.Cost of Goods-Svcs Sold'!$K$30),0)</f>
        <v>0</v>
      </c>
      <c r="I345" s="270">
        <f>IF(I116*('4.Cost of Goods-Svcs Sold'!$K$27+'4.Cost of Goods-Svcs Sold'!$K$30)&gt;0,I116*('4.Cost of Goods-Svcs Sold'!$K$27+'4.Cost of Goods-Svcs Sold'!$K$30),0)</f>
        <v>0</v>
      </c>
      <c r="J345" s="270">
        <f>IF(J116*('4.Cost of Goods-Svcs Sold'!$K$27+'4.Cost of Goods-Svcs Sold'!$K$30)&gt;0,J116*('4.Cost of Goods-Svcs Sold'!$K$27+'4.Cost of Goods-Svcs Sold'!$K$30),0)</f>
        <v>0</v>
      </c>
      <c r="K345" s="270">
        <f>IF(K116*('4.Cost of Goods-Svcs Sold'!$K$27+'4.Cost of Goods-Svcs Sold'!$K$30)&gt;0,K116*('4.Cost of Goods-Svcs Sold'!$K$27+'4.Cost of Goods-Svcs Sold'!$K$30),0)</f>
        <v>0</v>
      </c>
      <c r="L345" s="270">
        <f>IF(L116*('4.Cost of Goods-Svcs Sold'!$K$27+'4.Cost of Goods-Svcs Sold'!$K$30)&gt;0,L116*('4.Cost of Goods-Svcs Sold'!$K$27+'4.Cost of Goods-Svcs Sold'!$K$30),0)</f>
        <v>0</v>
      </c>
      <c r="M345" s="270">
        <f>IF(M116*('4.Cost of Goods-Svcs Sold'!$K$27+'4.Cost of Goods-Svcs Sold'!$K$30)&gt;0,M116*('4.Cost of Goods-Svcs Sold'!$K$27+'4.Cost of Goods-Svcs Sold'!$K$30),0)</f>
        <v>0</v>
      </c>
      <c r="N345" s="270">
        <f>IF(N116*('4.Cost of Goods-Svcs Sold'!$K$27+'4.Cost of Goods-Svcs Sold'!$K$30)&gt;0,N116*('4.Cost of Goods-Svcs Sold'!$K$27+'4.Cost of Goods-Svcs Sold'!$K$30),0)</f>
        <v>0</v>
      </c>
      <c r="O345" s="270">
        <f>IF(O116*('4.Cost of Goods-Svcs Sold'!$K$27+'4.Cost of Goods-Svcs Sold'!$K$30)&gt;0,O116*('4.Cost of Goods-Svcs Sold'!$K$27+'4.Cost of Goods-Svcs Sold'!$K$30),0)</f>
        <v>0</v>
      </c>
      <c r="P345" s="270">
        <f>IF(P116*('4.Cost of Goods-Svcs Sold'!$K$27+'4.Cost of Goods-Svcs Sold'!$K$30)&gt;0,P116*('4.Cost of Goods-Svcs Sold'!$K$27+'4.Cost of Goods-Svcs Sold'!$K$30),0)</f>
        <v>0</v>
      </c>
      <c r="Q345" s="270">
        <f>IF(Q116*('4.Cost of Goods-Svcs Sold'!$K$27+'4.Cost of Goods-Svcs Sold'!$K$30)&gt;0,Q116*('4.Cost of Goods-Svcs Sold'!$K$27+'4.Cost of Goods-Svcs Sold'!$K$30),0)</f>
        <v>0</v>
      </c>
      <c r="R345" s="270">
        <f>IF(R116*('4.Cost of Goods-Svcs Sold'!$K$27+'4.Cost of Goods-Svcs Sold'!$K$30)&gt;0,R116*('4.Cost of Goods-Svcs Sold'!$K$27+'4.Cost of Goods-Svcs Sold'!$K$30),0)</f>
        <v>0</v>
      </c>
      <c r="S345" s="270">
        <f>IF(S116*('4.Cost of Goods-Svcs Sold'!$K$27+'4.Cost of Goods-Svcs Sold'!$K$30)&gt;0,S116*('4.Cost of Goods-Svcs Sold'!$K$27+'4.Cost of Goods-Svcs Sold'!$K$30),0)</f>
        <v>0</v>
      </c>
    </row>
    <row r="346" spans="2:19">
      <c r="E346" s="3" t="s">
        <v>377</v>
      </c>
      <c r="H346" s="270">
        <f>IF(H117*('4.Cost of Goods-Svcs Sold'!$K$27+'4.Cost of Goods-Svcs Sold'!$K$30)&gt;0,H117*('4.Cost of Goods-Svcs Sold'!$K$27+'4.Cost of Goods-Svcs Sold'!$K$30),0)</f>
        <v>0</v>
      </c>
      <c r="I346" s="270">
        <f>IF(I117*('4.Cost of Goods-Svcs Sold'!$K$27+'4.Cost of Goods-Svcs Sold'!$K$30)&gt;0,I117*('4.Cost of Goods-Svcs Sold'!$K$27+'4.Cost of Goods-Svcs Sold'!$K$30),0)</f>
        <v>0</v>
      </c>
      <c r="J346" s="270">
        <f>IF(J117*('4.Cost of Goods-Svcs Sold'!$K$27+'4.Cost of Goods-Svcs Sold'!$K$30)&gt;0,J117*('4.Cost of Goods-Svcs Sold'!$K$27+'4.Cost of Goods-Svcs Sold'!$K$30),0)</f>
        <v>0</v>
      </c>
      <c r="K346" s="270">
        <f>IF(K117*('4.Cost of Goods-Svcs Sold'!$K$27+'4.Cost of Goods-Svcs Sold'!$K$30)&gt;0,K117*('4.Cost of Goods-Svcs Sold'!$K$27+'4.Cost of Goods-Svcs Sold'!$K$30),0)</f>
        <v>0</v>
      </c>
      <c r="L346" s="270">
        <f>IF(L117*('4.Cost of Goods-Svcs Sold'!$K$27+'4.Cost of Goods-Svcs Sold'!$K$30)&gt;0,L117*('4.Cost of Goods-Svcs Sold'!$K$27+'4.Cost of Goods-Svcs Sold'!$K$30),0)</f>
        <v>0</v>
      </c>
      <c r="M346" s="270">
        <f>IF(M117*('4.Cost of Goods-Svcs Sold'!$K$27+'4.Cost of Goods-Svcs Sold'!$K$30)&gt;0,M117*('4.Cost of Goods-Svcs Sold'!$K$27+'4.Cost of Goods-Svcs Sold'!$K$30),0)</f>
        <v>0</v>
      </c>
      <c r="N346" s="270">
        <f>IF(N117*('4.Cost of Goods-Svcs Sold'!$K$27+'4.Cost of Goods-Svcs Sold'!$K$30)&gt;0,N117*('4.Cost of Goods-Svcs Sold'!$K$27+'4.Cost of Goods-Svcs Sold'!$K$30),0)</f>
        <v>0</v>
      </c>
      <c r="O346" s="270">
        <f>IF(O117*('4.Cost of Goods-Svcs Sold'!$K$27+'4.Cost of Goods-Svcs Sold'!$K$30)&gt;0,O117*('4.Cost of Goods-Svcs Sold'!$K$27+'4.Cost of Goods-Svcs Sold'!$K$30),0)</f>
        <v>0</v>
      </c>
      <c r="P346" s="270">
        <f>IF(P117*('4.Cost of Goods-Svcs Sold'!$K$27+'4.Cost of Goods-Svcs Sold'!$K$30)&gt;0,P117*('4.Cost of Goods-Svcs Sold'!$K$27+'4.Cost of Goods-Svcs Sold'!$K$30),0)</f>
        <v>0</v>
      </c>
      <c r="Q346" s="270">
        <f>IF(Q117*('4.Cost of Goods-Svcs Sold'!$K$27+'4.Cost of Goods-Svcs Sold'!$K$30)&gt;0,Q117*('4.Cost of Goods-Svcs Sold'!$K$27+'4.Cost of Goods-Svcs Sold'!$K$30),0)</f>
        <v>0</v>
      </c>
      <c r="R346" s="270">
        <f>IF(R117*('4.Cost of Goods-Svcs Sold'!$K$27+'4.Cost of Goods-Svcs Sold'!$K$30)&gt;0,R117*('4.Cost of Goods-Svcs Sold'!$K$27+'4.Cost of Goods-Svcs Sold'!$K$30),0)</f>
        <v>0</v>
      </c>
      <c r="S346" s="270">
        <f>IF(S117*('4.Cost of Goods-Svcs Sold'!$K$27+'4.Cost of Goods-Svcs Sold'!$K$30)&gt;0,S117*('4.Cost of Goods-Svcs Sold'!$K$27+'4.Cost of Goods-Svcs Sold'!$K$30),0)</f>
        <v>0</v>
      </c>
    </row>
    <row r="347" spans="2:19">
      <c r="E347" s="3" t="s">
        <v>378</v>
      </c>
      <c r="H347" s="270">
        <f>IF(H118*('4.Cost of Goods-Svcs Sold'!$K$27+'4.Cost of Goods-Svcs Sold'!$K$30)&gt;0,H118*('4.Cost of Goods-Svcs Sold'!$K$27+'4.Cost of Goods-Svcs Sold'!$K$30),0)</f>
        <v>0</v>
      </c>
      <c r="I347" s="270">
        <f>IF(I118*('4.Cost of Goods-Svcs Sold'!$K$27+'4.Cost of Goods-Svcs Sold'!$K$30)&gt;0,I118*('4.Cost of Goods-Svcs Sold'!$K$27+'4.Cost of Goods-Svcs Sold'!$K$30),0)</f>
        <v>0</v>
      </c>
      <c r="J347" s="270">
        <f>IF(J118*('4.Cost of Goods-Svcs Sold'!$K$27+'4.Cost of Goods-Svcs Sold'!$K$30)&gt;0,J118*('4.Cost of Goods-Svcs Sold'!$K$27+'4.Cost of Goods-Svcs Sold'!$K$30),0)</f>
        <v>0</v>
      </c>
      <c r="K347" s="270">
        <f>IF(K118*('4.Cost of Goods-Svcs Sold'!$K$27+'4.Cost of Goods-Svcs Sold'!$K$30)&gt;0,K118*('4.Cost of Goods-Svcs Sold'!$K$27+'4.Cost of Goods-Svcs Sold'!$K$30),0)</f>
        <v>0</v>
      </c>
      <c r="L347" s="270">
        <f>IF(L118*('4.Cost of Goods-Svcs Sold'!$K$27+'4.Cost of Goods-Svcs Sold'!$K$30)&gt;0,L118*('4.Cost of Goods-Svcs Sold'!$K$27+'4.Cost of Goods-Svcs Sold'!$K$30),0)</f>
        <v>0</v>
      </c>
      <c r="M347" s="270">
        <f>IF(M118*('4.Cost of Goods-Svcs Sold'!$K$27+'4.Cost of Goods-Svcs Sold'!$K$30)&gt;0,M118*('4.Cost of Goods-Svcs Sold'!$K$27+'4.Cost of Goods-Svcs Sold'!$K$30),0)</f>
        <v>0</v>
      </c>
      <c r="N347" s="270">
        <f>IF(N118*('4.Cost of Goods-Svcs Sold'!$K$27+'4.Cost of Goods-Svcs Sold'!$K$30)&gt;0,N118*('4.Cost of Goods-Svcs Sold'!$K$27+'4.Cost of Goods-Svcs Sold'!$K$30),0)</f>
        <v>0</v>
      </c>
      <c r="O347" s="270">
        <f>IF(O118*('4.Cost of Goods-Svcs Sold'!$K$27+'4.Cost of Goods-Svcs Sold'!$K$30)&gt;0,O118*('4.Cost of Goods-Svcs Sold'!$K$27+'4.Cost of Goods-Svcs Sold'!$K$30),0)</f>
        <v>0</v>
      </c>
      <c r="P347" s="270">
        <f>IF(P118*('4.Cost of Goods-Svcs Sold'!$K$27+'4.Cost of Goods-Svcs Sold'!$K$30)&gt;0,P118*('4.Cost of Goods-Svcs Sold'!$K$27+'4.Cost of Goods-Svcs Sold'!$K$30),0)</f>
        <v>0</v>
      </c>
      <c r="Q347" s="270">
        <f>IF(Q118*('4.Cost of Goods-Svcs Sold'!$K$27+'4.Cost of Goods-Svcs Sold'!$K$30)&gt;0,Q118*('4.Cost of Goods-Svcs Sold'!$K$27+'4.Cost of Goods-Svcs Sold'!$K$30),0)</f>
        <v>0</v>
      </c>
      <c r="R347" s="270">
        <f>IF(R118*('4.Cost of Goods-Svcs Sold'!$K$27+'4.Cost of Goods-Svcs Sold'!$K$30)&gt;0,R118*('4.Cost of Goods-Svcs Sold'!$K$27+'4.Cost of Goods-Svcs Sold'!$K$30),0)</f>
        <v>0</v>
      </c>
      <c r="S347" s="270">
        <f>IF(S118*('4.Cost of Goods-Svcs Sold'!$K$27+'4.Cost of Goods-Svcs Sold'!$K$30)&gt;0,S118*('4.Cost of Goods-Svcs Sold'!$K$27+'4.Cost of Goods-Svcs Sold'!$K$30),0)</f>
        <v>0</v>
      </c>
    </row>
    <row r="349" spans="2:19">
      <c r="B349" t="str">
        <f>+A131</f>
        <v>Product/Service 13</v>
      </c>
      <c r="E349" s="3" t="s">
        <v>376</v>
      </c>
      <c r="H349" s="270">
        <f>IF(H137*('4.Cost of Goods-Svcs Sold'!$B$37+'4.Cost of Goods-Svcs Sold'!$B$40)&gt;0,H137*('4.Cost of Goods-Svcs Sold'!$B$37+'4.Cost of Goods-Svcs Sold'!$B$40),0)</f>
        <v>0</v>
      </c>
      <c r="I349" s="270">
        <f>IF(I137*('4.Cost of Goods-Svcs Sold'!$B$37+'4.Cost of Goods-Svcs Sold'!$B$40)&gt;0,I137*('4.Cost of Goods-Svcs Sold'!$B$37+'4.Cost of Goods-Svcs Sold'!$B$40),0)</f>
        <v>0</v>
      </c>
      <c r="J349" s="270">
        <f>IF(J137*('4.Cost of Goods-Svcs Sold'!$B$37+'4.Cost of Goods-Svcs Sold'!$B$40)&gt;0,J137*('4.Cost of Goods-Svcs Sold'!$B$37+'4.Cost of Goods-Svcs Sold'!$B$40),0)</f>
        <v>0</v>
      </c>
      <c r="K349" s="270">
        <f>IF(K137*('4.Cost of Goods-Svcs Sold'!$B$37+'4.Cost of Goods-Svcs Sold'!$B$40)&gt;0,K137*('4.Cost of Goods-Svcs Sold'!$B$37+'4.Cost of Goods-Svcs Sold'!$B$40),0)</f>
        <v>0</v>
      </c>
      <c r="L349" s="270">
        <f>IF(L137*('4.Cost of Goods-Svcs Sold'!$B$37+'4.Cost of Goods-Svcs Sold'!$B$40)&gt;0,L137*('4.Cost of Goods-Svcs Sold'!$B$37+'4.Cost of Goods-Svcs Sold'!$B$40),0)</f>
        <v>0</v>
      </c>
      <c r="M349" s="270">
        <f>IF(M137*('4.Cost of Goods-Svcs Sold'!$B$37+'4.Cost of Goods-Svcs Sold'!$B$40)&gt;0,M137*('4.Cost of Goods-Svcs Sold'!$B$37+'4.Cost of Goods-Svcs Sold'!$B$40),0)</f>
        <v>0</v>
      </c>
      <c r="N349" s="270">
        <f>IF(N137*('4.Cost of Goods-Svcs Sold'!$B$37+'4.Cost of Goods-Svcs Sold'!$B$40)&gt;0,N137*('4.Cost of Goods-Svcs Sold'!$B$37+'4.Cost of Goods-Svcs Sold'!$B$40),0)</f>
        <v>0</v>
      </c>
      <c r="O349" s="270">
        <f>IF(O137*('4.Cost of Goods-Svcs Sold'!$B$37+'4.Cost of Goods-Svcs Sold'!$B$40)&gt;0,O137*('4.Cost of Goods-Svcs Sold'!$B$37+'4.Cost of Goods-Svcs Sold'!$B$40),0)</f>
        <v>0</v>
      </c>
      <c r="P349" s="270">
        <f>IF(P137*('4.Cost of Goods-Svcs Sold'!$B$37+'4.Cost of Goods-Svcs Sold'!$B$40)&gt;0,P137*('4.Cost of Goods-Svcs Sold'!$B$37+'4.Cost of Goods-Svcs Sold'!$B$40),0)</f>
        <v>0</v>
      </c>
      <c r="Q349" s="270">
        <f>IF(Q137*('4.Cost of Goods-Svcs Sold'!$B$37+'4.Cost of Goods-Svcs Sold'!$B$40)&gt;0,Q137*('4.Cost of Goods-Svcs Sold'!$B$37+'4.Cost of Goods-Svcs Sold'!$B$40),0)</f>
        <v>0</v>
      </c>
      <c r="R349" s="270">
        <f>IF(R137*('4.Cost of Goods-Svcs Sold'!$B$37+'4.Cost of Goods-Svcs Sold'!$B$40)&gt;0,R137*('4.Cost of Goods-Svcs Sold'!$B$37+'4.Cost of Goods-Svcs Sold'!$B$40),0)</f>
        <v>0</v>
      </c>
      <c r="S349" s="270">
        <f>IF(S137*('4.Cost of Goods-Svcs Sold'!$B$37+'4.Cost of Goods-Svcs Sold'!$B$40)&gt;0,S137*('4.Cost of Goods-Svcs Sold'!$B$37+'4.Cost of Goods-Svcs Sold'!$B$40),0)</f>
        <v>0</v>
      </c>
    </row>
    <row r="350" spans="2:19">
      <c r="E350" s="3" t="s">
        <v>377</v>
      </c>
      <c r="H350" s="270">
        <f>IF(H138*('4.Cost of Goods-Svcs Sold'!$B$37+'4.Cost of Goods-Svcs Sold'!$B$40)&gt;0,H138*('4.Cost of Goods-Svcs Sold'!$B$37+'4.Cost of Goods-Svcs Sold'!$B$40),0)</f>
        <v>0</v>
      </c>
      <c r="I350" s="270">
        <f>IF(I138*('4.Cost of Goods-Svcs Sold'!$B$37+'4.Cost of Goods-Svcs Sold'!$B$40)&gt;0,I138*('4.Cost of Goods-Svcs Sold'!$B$37+'4.Cost of Goods-Svcs Sold'!$B$40),0)</f>
        <v>0</v>
      </c>
      <c r="J350" s="270">
        <f>IF(J138*('4.Cost of Goods-Svcs Sold'!$B$37+'4.Cost of Goods-Svcs Sold'!$B$40)&gt;0,J138*('4.Cost of Goods-Svcs Sold'!$B$37+'4.Cost of Goods-Svcs Sold'!$B$40),0)</f>
        <v>0</v>
      </c>
      <c r="K350" s="270">
        <f>IF(K138*('4.Cost of Goods-Svcs Sold'!$B$37+'4.Cost of Goods-Svcs Sold'!$B$40)&gt;0,K138*('4.Cost of Goods-Svcs Sold'!$B$37+'4.Cost of Goods-Svcs Sold'!$B$40),0)</f>
        <v>0</v>
      </c>
      <c r="L350" s="270">
        <f>IF(L138*('4.Cost of Goods-Svcs Sold'!$B$37+'4.Cost of Goods-Svcs Sold'!$B$40)&gt;0,L138*('4.Cost of Goods-Svcs Sold'!$B$37+'4.Cost of Goods-Svcs Sold'!$B$40),0)</f>
        <v>0</v>
      </c>
      <c r="M350" s="270">
        <f>IF(M138*('4.Cost of Goods-Svcs Sold'!$B$37+'4.Cost of Goods-Svcs Sold'!$B$40)&gt;0,M138*('4.Cost of Goods-Svcs Sold'!$B$37+'4.Cost of Goods-Svcs Sold'!$B$40),0)</f>
        <v>0</v>
      </c>
      <c r="N350" s="270">
        <f>IF(N138*('4.Cost of Goods-Svcs Sold'!$B$37+'4.Cost of Goods-Svcs Sold'!$B$40)&gt;0,N138*('4.Cost of Goods-Svcs Sold'!$B$37+'4.Cost of Goods-Svcs Sold'!$B$40),0)</f>
        <v>0</v>
      </c>
      <c r="O350" s="270">
        <f>IF(O138*('4.Cost of Goods-Svcs Sold'!$B$37+'4.Cost of Goods-Svcs Sold'!$B$40)&gt;0,O138*('4.Cost of Goods-Svcs Sold'!$B$37+'4.Cost of Goods-Svcs Sold'!$B$40),0)</f>
        <v>0</v>
      </c>
      <c r="P350" s="270">
        <f>IF(P138*('4.Cost of Goods-Svcs Sold'!$B$37+'4.Cost of Goods-Svcs Sold'!$B$40)&gt;0,P138*('4.Cost of Goods-Svcs Sold'!$B$37+'4.Cost of Goods-Svcs Sold'!$B$40),0)</f>
        <v>0</v>
      </c>
      <c r="Q350" s="270">
        <f>IF(Q138*('4.Cost of Goods-Svcs Sold'!$B$37+'4.Cost of Goods-Svcs Sold'!$B$40)&gt;0,Q138*('4.Cost of Goods-Svcs Sold'!$B$37+'4.Cost of Goods-Svcs Sold'!$B$40),0)</f>
        <v>0</v>
      </c>
      <c r="R350" s="270">
        <f>IF(R138*('4.Cost of Goods-Svcs Sold'!$B$37+'4.Cost of Goods-Svcs Sold'!$B$40)&gt;0,R138*('4.Cost of Goods-Svcs Sold'!$B$37+'4.Cost of Goods-Svcs Sold'!$B$40),0)</f>
        <v>0</v>
      </c>
      <c r="S350" s="270">
        <f>IF(S138*('4.Cost of Goods-Svcs Sold'!$B$37+'4.Cost of Goods-Svcs Sold'!$B$40)&gt;0,S138*('4.Cost of Goods-Svcs Sold'!$B$37+'4.Cost of Goods-Svcs Sold'!$B$40),0)</f>
        <v>0</v>
      </c>
    </row>
    <row r="351" spans="2:19">
      <c r="E351" s="3" t="s">
        <v>378</v>
      </c>
      <c r="H351" s="270">
        <f>IF(H139*('4.Cost of Goods-Svcs Sold'!$B$37+'4.Cost of Goods-Svcs Sold'!$B$40)&gt;0,H139*('4.Cost of Goods-Svcs Sold'!$B$37+'4.Cost of Goods-Svcs Sold'!$B$40),0)</f>
        <v>0</v>
      </c>
      <c r="I351" s="270">
        <f>IF(I139*('4.Cost of Goods-Svcs Sold'!$B$37+'4.Cost of Goods-Svcs Sold'!$B$40)&gt;0,I139*('4.Cost of Goods-Svcs Sold'!$B$37+'4.Cost of Goods-Svcs Sold'!$B$40),0)</f>
        <v>0</v>
      </c>
      <c r="J351" s="270">
        <f>IF(J139*('4.Cost of Goods-Svcs Sold'!$B$37+'4.Cost of Goods-Svcs Sold'!$B$40)&gt;0,J139*('4.Cost of Goods-Svcs Sold'!$B$37+'4.Cost of Goods-Svcs Sold'!$B$40),0)</f>
        <v>0</v>
      </c>
      <c r="K351" s="270">
        <f>IF(K139*('4.Cost of Goods-Svcs Sold'!$B$37+'4.Cost of Goods-Svcs Sold'!$B$40)&gt;0,K139*('4.Cost of Goods-Svcs Sold'!$B$37+'4.Cost of Goods-Svcs Sold'!$B$40),0)</f>
        <v>0</v>
      </c>
      <c r="L351" s="270">
        <f>IF(L139*('4.Cost of Goods-Svcs Sold'!$B$37+'4.Cost of Goods-Svcs Sold'!$B$40)&gt;0,L139*('4.Cost of Goods-Svcs Sold'!$B$37+'4.Cost of Goods-Svcs Sold'!$B$40),0)</f>
        <v>0</v>
      </c>
      <c r="M351" s="270">
        <f>IF(M139*('4.Cost of Goods-Svcs Sold'!$B$37+'4.Cost of Goods-Svcs Sold'!$B$40)&gt;0,M139*('4.Cost of Goods-Svcs Sold'!$B$37+'4.Cost of Goods-Svcs Sold'!$B$40),0)</f>
        <v>0</v>
      </c>
      <c r="N351" s="270">
        <f>IF(N139*('4.Cost of Goods-Svcs Sold'!$B$37+'4.Cost of Goods-Svcs Sold'!$B$40)&gt;0,N139*('4.Cost of Goods-Svcs Sold'!$B$37+'4.Cost of Goods-Svcs Sold'!$B$40),0)</f>
        <v>0</v>
      </c>
      <c r="O351" s="270">
        <f>IF(O139*('4.Cost of Goods-Svcs Sold'!$B$37+'4.Cost of Goods-Svcs Sold'!$B$40)&gt;0,O139*('4.Cost of Goods-Svcs Sold'!$B$37+'4.Cost of Goods-Svcs Sold'!$B$40),0)</f>
        <v>0</v>
      </c>
      <c r="P351" s="270">
        <f>IF(P139*('4.Cost of Goods-Svcs Sold'!$B$37+'4.Cost of Goods-Svcs Sold'!$B$40)&gt;0,P139*('4.Cost of Goods-Svcs Sold'!$B$37+'4.Cost of Goods-Svcs Sold'!$B$40),0)</f>
        <v>0</v>
      </c>
      <c r="Q351" s="270">
        <f>IF(Q139*('4.Cost of Goods-Svcs Sold'!$B$37+'4.Cost of Goods-Svcs Sold'!$B$40)&gt;0,Q139*('4.Cost of Goods-Svcs Sold'!$B$37+'4.Cost of Goods-Svcs Sold'!$B$40),0)</f>
        <v>0</v>
      </c>
      <c r="R351" s="270">
        <f>IF(R139*('4.Cost of Goods-Svcs Sold'!$B$37+'4.Cost of Goods-Svcs Sold'!$B$40)&gt;0,R139*('4.Cost of Goods-Svcs Sold'!$B$37+'4.Cost of Goods-Svcs Sold'!$B$40),0)</f>
        <v>0</v>
      </c>
      <c r="S351" s="270">
        <f>IF(S139*('4.Cost of Goods-Svcs Sold'!$B$37+'4.Cost of Goods-Svcs Sold'!$B$40)&gt;0,S139*('4.Cost of Goods-Svcs Sold'!$B$37+'4.Cost of Goods-Svcs Sold'!$B$40),0)</f>
        <v>0</v>
      </c>
    </row>
    <row r="353" spans="2:19">
      <c r="B353" t="str">
        <f>+A152</f>
        <v>Product/Service 14</v>
      </c>
      <c r="E353" s="3" t="s">
        <v>376</v>
      </c>
      <c r="H353" s="270">
        <f>IF(H158*('4.Cost of Goods-Svcs Sold'!$E$37+'4.Cost of Goods-Svcs Sold'!$E$40)&gt;0,H158*('4.Cost of Goods-Svcs Sold'!$E$37+'4.Cost of Goods-Svcs Sold'!$E$40),0)</f>
        <v>0</v>
      </c>
      <c r="I353" s="270">
        <f>IF(I158*('4.Cost of Goods-Svcs Sold'!$E$37+'4.Cost of Goods-Svcs Sold'!$E$40)&gt;0,I158*('4.Cost of Goods-Svcs Sold'!$E$37+'4.Cost of Goods-Svcs Sold'!$E$40),0)</f>
        <v>0</v>
      </c>
      <c r="J353" s="270">
        <f>IF(J158*('4.Cost of Goods-Svcs Sold'!$E$37+'4.Cost of Goods-Svcs Sold'!$E$40)&gt;0,J158*('4.Cost of Goods-Svcs Sold'!$E$37+'4.Cost of Goods-Svcs Sold'!$E$40),0)</f>
        <v>0</v>
      </c>
      <c r="K353" s="270">
        <f>IF(K158*('4.Cost of Goods-Svcs Sold'!$E$37+'4.Cost of Goods-Svcs Sold'!$E$40)&gt;0,K158*('4.Cost of Goods-Svcs Sold'!$E$37+'4.Cost of Goods-Svcs Sold'!$E$40),0)</f>
        <v>0</v>
      </c>
      <c r="L353" s="270">
        <f>IF(L158*('4.Cost of Goods-Svcs Sold'!$E$37+'4.Cost of Goods-Svcs Sold'!$E$40)&gt;0,L158*('4.Cost of Goods-Svcs Sold'!$E$37+'4.Cost of Goods-Svcs Sold'!$E$40),0)</f>
        <v>0</v>
      </c>
      <c r="M353" s="270">
        <f>IF(M158*('4.Cost of Goods-Svcs Sold'!$E$37+'4.Cost of Goods-Svcs Sold'!$E$40)&gt;0,M158*('4.Cost of Goods-Svcs Sold'!$E$37+'4.Cost of Goods-Svcs Sold'!$E$40),0)</f>
        <v>0</v>
      </c>
      <c r="N353" s="270">
        <f>IF(N158*('4.Cost of Goods-Svcs Sold'!$E$37+'4.Cost of Goods-Svcs Sold'!$E$40)&gt;0,N158*('4.Cost of Goods-Svcs Sold'!$E$37+'4.Cost of Goods-Svcs Sold'!$E$40),0)</f>
        <v>0</v>
      </c>
      <c r="O353" s="270">
        <f>IF(O158*('4.Cost of Goods-Svcs Sold'!$E$37+'4.Cost of Goods-Svcs Sold'!$E$40)&gt;0,O158*('4.Cost of Goods-Svcs Sold'!$E$37+'4.Cost of Goods-Svcs Sold'!$E$40),0)</f>
        <v>0</v>
      </c>
      <c r="P353" s="270">
        <f>IF(P158*('4.Cost of Goods-Svcs Sold'!$E$37+'4.Cost of Goods-Svcs Sold'!$E$40)&gt;0,P158*('4.Cost of Goods-Svcs Sold'!$E$37+'4.Cost of Goods-Svcs Sold'!$E$40),0)</f>
        <v>0</v>
      </c>
      <c r="Q353" s="270">
        <f>IF(Q158*('4.Cost of Goods-Svcs Sold'!$E$37+'4.Cost of Goods-Svcs Sold'!$E$40)&gt;0,Q158*('4.Cost of Goods-Svcs Sold'!$E$37+'4.Cost of Goods-Svcs Sold'!$E$40),0)</f>
        <v>0</v>
      </c>
      <c r="R353" s="270">
        <f>IF(R158*('4.Cost of Goods-Svcs Sold'!$E$37+'4.Cost of Goods-Svcs Sold'!$E$40)&gt;0,R158*('4.Cost of Goods-Svcs Sold'!$E$37+'4.Cost of Goods-Svcs Sold'!$E$40),0)</f>
        <v>0</v>
      </c>
      <c r="S353" s="270">
        <f>IF(S158*('4.Cost of Goods-Svcs Sold'!$E$37+'4.Cost of Goods-Svcs Sold'!$E$40)&gt;0,S158*('4.Cost of Goods-Svcs Sold'!$E$37+'4.Cost of Goods-Svcs Sold'!$E$40),0)</f>
        <v>0</v>
      </c>
    </row>
    <row r="354" spans="2:19">
      <c r="E354" s="3" t="s">
        <v>377</v>
      </c>
      <c r="H354" s="270">
        <f>IF(H159*('4.Cost of Goods-Svcs Sold'!$E$37+'4.Cost of Goods-Svcs Sold'!$E$40)&gt;0,H159*('4.Cost of Goods-Svcs Sold'!$E$37+'4.Cost of Goods-Svcs Sold'!$E$40),0)</f>
        <v>0</v>
      </c>
      <c r="I354" s="270">
        <f>IF(I159*('4.Cost of Goods-Svcs Sold'!$E$37+'4.Cost of Goods-Svcs Sold'!$E$40)&gt;0,I159*('4.Cost of Goods-Svcs Sold'!$E$37+'4.Cost of Goods-Svcs Sold'!$E$40),0)</f>
        <v>0</v>
      </c>
      <c r="J354" s="270">
        <f>IF(J159*('4.Cost of Goods-Svcs Sold'!$E$37+'4.Cost of Goods-Svcs Sold'!$E$40)&gt;0,J159*('4.Cost of Goods-Svcs Sold'!$E$37+'4.Cost of Goods-Svcs Sold'!$E$40),0)</f>
        <v>0</v>
      </c>
      <c r="K354" s="270">
        <f>IF(K159*('4.Cost of Goods-Svcs Sold'!$E$37+'4.Cost of Goods-Svcs Sold'!$E$40)&gt;0,K159*('4.Cost of Goods-Svcs Sold'!$E$37+'4.Cost of Goods-Svcs Sold'!$E$40),0)</f>
        <v>0</v>
      </c>
      <c r="L354" s="270">
        <f>IF(L159*('4.Cost of Goods-Svcs Sold'!$E$37+'4.Cost of Goods-Svcs Sold'!$E$40)&gt;0,L159*('4.Cost of Goods-Svcs Sold'!$E$37+'4.Cost of Goods-Svcs Sold'!$E$40),0)</f>
        <v>0</v>
      </c>
      <c r="M354" s="270">
        <f>IF(M159*('4.Cost of Goods-Svcs Sold'!$E$37+'4.Cost of Goods-Svcs Sold'!$E$40)&gt;0,M159*('4.Cost of Goods-Svcs Sold'!$E$37+'4.Cost of Goods-Svcs Sold'!$E$40),0)</f>
        <v>0</v>
      </c>
      <c r="N354" s="270">
        <f>IF(N159*('4.Cost of Goods-Svcs Sold'!$E$37+'4.Cost of Goods-Svcs Sold'!$E$40)&gt;0,N159*('4.Cost of Goods-Svcs Sold'!$E$37+'4.Cost of Goods-Svcs Sold'!$E$40),0)</f>
        <v>0</v>
      </c>
      <c r="O354" s="270">
        <f>IF(O159*('4.Cost of Goods-Svcs Sold'!$E$37+'4.Cost of Goods-Svcs Sold'!$E$40)&gt;0,O159*('4.Cost of Goods-Svcs Sold'!$E$37+'4.Cost of Goods-Svcs Sold'!$E$40),0)</f>
        <v>0</v>
      </c>
      <c r="P354" s="270">
        <f>IF(P159*('4.Cost of Goods-Svcs Sold'!$E$37+'4.Cost of Goods-Svcs Sold'!$E$40)&gt;0,P159*('4.Cost of Goods-Svcs Sold'!$E$37+'4.Cost of Goods-Svcs Sold'!$E$40),0)</f>
        <v>0</v>
      </c>
      <c r="Q354" s="270">
        <f>IF(Q159*('4.Cost of Goods-Svcs Sold'!$E$37+'4.Cost of Goods-Svcs Sold'!$E$40)&gt;0,Q159*('4.Cost of Goods-Svcs Sold'!$E$37+'4.Cost of Goods-Svcs Sold'!$E$40),0)</f>
        <v>0</v>
      </c>
      <c r="R354" s="270">
        <f>IF(R159*('4.Cost of Goods-Svcs Sold'!$E$37+'4.Cost of Goods-Svcs Sold'!$E$40)&gt;0,R159*('4.Cost of Goods-Svcs Sold'!$E$37+'4.Cost of Goods-Svcs Sold'!$E$40),0)</f>
        <v>0</v>
      </c>
      <c r="S354" s="270">
        <f>IF(S159*('4.Cost of Goods-Svcs Sold'!$E$37+'4.Cost of Goods-Svcs Sold'!$E$40)&gt;0,S159*('4.Cost of Goods-Svcs Sold'!$E$37+'4.Cost of Goods-Svcs Sold'!$E$40),0)</f>
        <v>0</v>
      </c>
    </row>
    <row r="355" spans="2:19">
      <c r="E355" s="3" t="s">
        <v>378</v>
      </c>
      <c r="H355" s="270">
        <f>IF(H160*('4.Cost of Goods-Svcs Sold'!$E$37+'4.Cost of Goods-Svcs Sold'!$E$40)&gt;0,H160*('4.Cost of Goods-Svcs Sold'!$E$37+'4.Cost of Goods-Svcs Sold'!$E$40),0)</f>
        <v>0</v>
      </c>
      <c r="I355" s="270">
        <f>IF(I160*('4.Cost of Goods-Svcs Sold'!$E$37+'4.Cost of Goods-Svcs Sold'!$E$40)&gt;0,I160*('4.Cost of Goods-Svcs Sold'!$E$37+'4.Cost of Goods-Svcs Sold'!$E$40),0)</f>
        <v>0</v>
      </c>
      <c r="J355" s="270">
        <f>IF(J160*('4.Cost of Goods-Svcs Sold'!$E$37+'4.Cost of Goods-Svcs Sold'!$E$40)&gt;0,J160*('4.Cost of Goods-Svcs Sold'!$E$37+'4.Cost of Goods-Svcs Sold'!$E$40),0)</f>
        <v>0</v>
      </c>
      <c r="K355" s="270">
        <f>IF(K160*('4.Cost of Goods-Svcs Sold'!$E$37+'4.Cost of Goods-Svcs Sold'!$E$40)&gt;0,K160*('4.Cost of Goods-Svcs Sold'!$E$37+'4.Cost of Goods-Svcs Sold'!$E$40),0)</f>
        <v>0</v>
      </c>
      <c r="L355" s="270">
        <f>IF(L160*('4.Cost of Goods-Svcs Sold'!$E$37+'4.Cost of Goods-Svcs Sold'!$E$40)&gt;0,L160*('4.Cost of Goods-Svcs Sold'!$E$37+'4.Cost of Goods-Svcs Sold'!$E$40),0)</f>
        <v>0</v>
      </c>
      <c r="M355" s="270">
        <f>IF(M160*('4.Cost of Goods-Svcs Sold'!$E$37+'4.Cost of Goods-Svcs Sold'!$E$40)&gt;0,M160*('4.Cost of Goods-Svcs Sold'!$E$37+'4.Cost of Goods-Svcs Sold'!$E$40),0)</f>
        <v>0</v>
      </c>
      <c r="N355" s="270">
        <f>IF(N160*('4.Cost of Goods-Svcs Sold'!$E$37+'4.Cost of Goods-Svcs Sold'!$E$40)&gt;0,N160*('4.Cost of Goods-Svcs Sold'!$E$37+'4.Cost of Goods-Svcs Sold'!$E$40),0)</f>
        <v>0</v>
      </c>
      <c r="O355" s="270">
        <f>IF(O160*('4.Cost of Goods-Svcs Sold'!$E$37+'4.Cost of Goods-Svcs Sold'!$E$40)&gt;0,O160*('4.Cost of Goods-Svcs Sold'!$E$37+'4.Cost of Goods-Svcs Sold'!$E$40),0)</f>
        <v>0</v>
      </c>
      <c r="P355" s="270">
        <f>IF(P160*('4.Cost of Goods-Svcs Sold'!$E$37+'4.Cost of Goods-Svcs Sold'!$E$40)&gt;0,P160*('4.Cost of Goods-Svcs Sold'!$E$37+'4.Cost of Goods-Svcs Sold'!$E$40),0)</f>
        <v>0</v>
      </c>
      <c r="Q355" s="270">
        <f>IF(Q160*('4.Cost of Goods-Svcs Sold'!$E$37+'4.Cost of Goods-Svcs Sold'!$E$40)&gt;0,Q160*('4.Cost of Goods-Svcs Sold'!$E$37+'4.Cost of Goods-Svcs Sold'!$E$40),0)</f>
        <v>0</v>
      </c>
      <c r="R355" s="270">
        <f>IF(R160*('4.Cost of Goods-Svcs Sold'!$E$37+'4.Cost of Goods-Svcs Sold'!$E$40)&gt;0,R160*('4.Cost of Goods-Svcs Sold'!$E$37+'4.Cost of Goods-Svcs Sold'!$E$40),0)</f>
        <v>0</v>
      </c>
      <c r="S355" s="270">
        <f>IF(S160*('4.Cost of Goods-Svcs Sold'!$E$37+'4.Cost of Goods-Svcs Sold'!$E$40)&gt;0,S160*('4.Cost of Goods-Svcs Sold'!$E$37+'4.Cost of Goods-Svcs Sold'!$E$40),0)</f>
        <v>0</v>
      </c>
    </row>
    <row r="357" spans="2:19">
      <c r="B357" t="str">
        <f>+A173</f>
        <v>Product/Service 15</v>
      </c>
      <c r="E357" s="3" t="s">
        <v>376</v>
      </c>
      <c r="H357" s="270">
        <f>IF(H179*('4.Cost of Goods-Svcs Sold'!$H$37+'4.Cost of Goods-Svcs Sold'!$H$40)&gt;0,H179*('4.Cost of Goods-Svcs Sold'!$H$37+'4.Cost of Goods-Svcs Sold'!$H$40),0)</f>
        <v>0</v>
      </c>
      <c r="I357" s="270">
        <f>IF(I179*('4.Cost of Goods-Svcs Sold'!$H$37+'4.Cost of Goods-Svcs Sold'!$H$40)&gt;0,I179*('4.Cost of Goods-Svcs Sold'!$H$37+'4.Cost of Goods-Svcs Sold'!$H$40),0)</f>
        <v>0</v>
      </c>
      <c r="J357" s="270">
        <f>IF(J179*('4.Cost of Goods-Svcs Sold'!$H$37+'4.Cost of Goods-Svcs Sold'!$H$40)&gt;0,J179*('4.Cost of Goods-Svcs Sold'!$H$37+'4.Cost of Goods-Svcs Sold'!$H$40),0)</f>
        <v>0</v>
      </c>
      <c r="K357" s="270">
        <f>IF(K179*('4.Cost of Goods-Svcs Sold'!$H$37+'4.Cost of Goods-Svcs Sold'!$H$40)&gt;0,K179*('4.Cost of Goods-Svcs Sold'!$H$37+'4.Cost of Goods-Svcs Sold'!$H$40),0)</f>
        <v>0</v>
      </c>
      <c r="L357" s="270">
        <f>IF(L179*('4.Cost of Goods-Svcs Sold'!$H$37+'4.Cost of Goods-Svcs Sold'!$H$40)&gt;0,L179*('4.Cost of Goods-Svcs Sold'!$H$37+'4.Cost of Goods-Svcs Sold'!$H$40),0)</f>
        <v>0</v>
      </c>
      <c r="M357" s="270">
        <f>IF(M179*('4.Cost of Goods-Svcs Sold'!$H$37+'4.Cost of Goods-Svcs Sold'!$H$40)&gt;0,M179*('4.Cost of Goods-Svcs Sold'!$H$37+'4.Cost of Goods-Svcs Sold'!$H$40),0)</f>
        <v>0</v>
      </c>
      <c r="N357" s="270">
        <f>IF(N179*('4.Cost of Goods-Svcs Sold'!$H$37+'4.Cost of Goods-Svcs Sold'!$H$40)&gt;0,N179*('4.Cost of Goods-Svcs Sold'!$H$37+'4.Cost of Goods-Svcs Sold'!$H$40),0)</f>
        <v>0</v>
      </c>
      <c r="O357" s="270">
        <f>IF(O179*('4.Cost of Goods-Svcs Sold'!$H$37+'4.Cost of Goods-Svcs Sold'!$H$40)&gt;0,O179*('4.Cost of Goods-Svcs Sold'!$H$37+'4.Cost of Goods-Svcs Sold'!$H$40),0)</f>
        <v>0</v>
      </c>
      <c r="P357" s="270">
        <f>IF(P179*('4.Cost of Goods-Svcs Sold'!$H$37+'4.Cost of Goods-Svcs Sold'!$H$40)&gt;0,P179*('4.Cost of Goods-Svcs Sold'!$H$37+'4.Cost of Goods-Svcs Sold'!$H$40),0)</f>
        <v>0</v>
      </c>
      <c r="Q357" s="270">
        <f>IF(Q179*('4.Cost of Goods-Svcs Sold'!$H$37+'4.Cost of Goods-Svcs Sold'!$H$40)&gt;0,Q179*('4.Cost of Goods-Svcs Sold'!$H$37+'4.Cost of Goods-Svcs Sold'!$H$40),0)</f>
        <v>0</v>
      </c>
      <c r="R357" s="270">
        <f>IF(R179*('4.Cost of Goods-Svcs Sold'!$H$37+'4.Cost of Goods-Svcs Sold'!$H$40)&gt;0,R179*('4.Cost of Goods-Svcs Sold'!$H$37+'4.Cost of Goods-Svcs Sold'!$H$40),0)</f>
        <v>0</v>
      </c>
      <c r="S357" s="270">
        <f>IF(S179*('4.Cost of Goods-Svcs Sold'!$H$37+'4.Cost of Goods-Svcs Sold'!$H$40)&gt;0,S179*('4.Cost of Goods-Svcs Sold'!$H$37+'4.Cost of Goods-Svcs Sold'!$H$40),0)</f>
        <v>0</v>
      </c>
    </row>
    <row r="358" spans="2:19">
      <c r="E358" s="3" t="s">
        <v>377</v>
      </c>
      <c r="H358" s="270">
        <f>IF(H180*('4.Cost of Goods-Svcs Sold'!$H$37+'4.Cost of Goods-Svcs Sold'!$H$40)&gt;0,H180*('4.Cost of Goods-Svcs Sold'!$H$37+'4.Cost of Goods-Svcs Sold'!$H$40),0)</f>
        <v>0</v>
      </c>
      <c r="I358" s="270">
        <f>IF(I180*('4.Cost of Goods-Svcs Sold'!$H$37+'4.Cost of Goods-Svcs Sold'!$H$40)&gt;0,I180*('4.Cost of Goods-Svcs Sold'!$H$37+'4.Cost of Goods-Svcs Sold'!$H$40),0)</f>
        <v>0</v>
      </c>
      <c r="J358" s="270">
        <f>IF(J180*('4.Cost of Goods-Svcs Sold'!$H$37+'4.Cost of Goods-Svcs Sold'!$H$40)&gt;0,J180*('4.Cost of Goods-Svcs Sold'!$H$37+'4.Cost of Goods-Svcs Sold'!$H$40),0)</f>
        <v>0</v>
      </c>
      <c r="K358" s="270">
        <f>IF(K180*('4.Cost of Goods-Svcs Sold'!$H$37+'4.Cost of Goods-Svcs Sold'!$H$40)&gt;0,K180*('4.Cost of Goods-Svcs Sold'!$H$37+'4.Cost of Goods-Svcs Sold'!$H$40),0)</f>
        <v>0</v>
      </c>
      <c r="L358" s="270">
        <f>IF(L180*('4.Cost of Goods-Svcs Sold'!$H$37+'4.Cost of Goods-Svcs Sold'!$H$40)&gt;0,L180*('4.Cost of Goods-Svcs Sold'!$H$37+'4.Cost of Goods-Svcs Sold'!$H$40),0)</f>
        <v>0</v>
      </c>
      <c r="M358" s="270">
        <f>IF(M180*('4.Cost of Goods-Svcs Sold'!$H$37+'4.Cost of Goods-Svcs Sold'!$H$40)&gt;0,M180*('4.Cost of Goods-Svcs Sold'!$H$37+'4.Cost of Goods-Svcs Sold'!$H$40),0)</f>
        <v>0</v>
      </c>
      <c r="N358" s="270">
        <f>IF(N180*('4.Cost of Goods-Svcs Sold'!$H$37+'4.Cost of Goods-Svcs Sold'!$H$40)&gt;0,N180*('4.Cost of Goods-Svcs Sold'!$H$37+'4.Cost of Goods-Svcs Sold'!$H$40),0)</f>
        <v>0</v>
      </c>
      <c r="O358" s="270">
        <f>IF(O180*('4.Cost of Goods-Svcs Sold'!$H$37+'4.Cost of Goods-Svcs Sold'!$H$40)&gt;0,O180*('4.Cost of Goods-Svcs Sold'!$H$37+'4.Cost of Goods-Svcs Sold'!$H$40),0)</f>
        <v>0</v>
      </c>
      <c r="P358" s="270">
        <f>IF(P180*('4.Cost of Goods-Svcs Sold'!$H$37+'4.Cost of Goods-Svcs Sold'!$H$40)&gt;0,P180*('4.Cost of Goods-Svcs Sold'!$H$37+'4.Cost of Goods-Svcs Sold'!$H$40),0)</f>
        <v>0</v>
      </c>
      <c r="Q358" s="270">
        <f>IF(Q180*('4.Cost of Goods-Svcs Sold'!$H$37+'4.Cost of Goods-Svcs Sold'!$H$40)&gt;0,Q180*('4.Cost of Goods-Svcs Sold'!$H$37+'4.Cost of Goods-Svcs Sold'!$H$40),0)</f>
        <v>0</v>
      </c>
      <c r="R358" s="270">
        <f>IF(R180*('4.Cost of Goods-Svcs Sold'!$H$37+'4.Cost of Goods-Svcs Sold'!$H$40)&gt;0,R180*('4.Cost of Goods-Svcs Sold'!$H$37+'4.Cost of Goods-Svcs Sold'!$H$40),0)</f>
        <v>0</v>
      </c>
      <c r="S358" s="270">
        <f>IF(S180*('4.Cost of Goods-Svcs Sold'!$H$37+'4.Cost of Goods-Svcs Sold'!$H$40)&gt;0,S180*('4.Cost of Goods-Svcs Sold'!$H$37+'4.Cost of Goods-Svcs Sold'!$H$40),0)</f>
        <v>0</v>
      </c>
    </row>
    <row r="359" spans="2:19">
      <c r="E359" s="3" t="s">
        <v>378</v>
      </c>
      <c r="H359" s="270">
        <f>IF(H181*('4.Cost of Goods-Svcs Sold'!$H$37+'4.Cost of Goods-Svcs Sold'!$H$40)&gt;0,H181*('4.Cost of Goods-Svcs Sold'!$H$37+'4.Cost of Goods-Svcs Sold'!$H$40),0)</f>
        <v>0</v>
      </c>
      <c r="I359" s="270">
        <f>IF(I181*('4.Cost of Goods-Svcs Sold'!$H$37+'4.Cost of Goods-Svcs Sold'!$H$40)&gt;0,I181*('4.Cost of Goods-Svcs Sold'!$H$37+'4.Cost of Goods-Svcs Sold'!$H$40),0)</f>
        <v>0</v>
      </c>
      <c r="J359" s="270">
        <f>IF(J181*('4.Cost of Goods-Svcs Sold'!$H$37+'4.Cost of Goods-Svcs Sold'!$H$40)&gt;0,J181*('4.Cost of Goods-Svcs Sold'!$H$37+'4.Cost of Goods-Svcs Sold'!$H$40),0)</f>
        <v>0</v>
      </c>
      <c r="K359" s="270">
        <f>IF(K181*('4.Cost of Goods-Svcs Sold'!$H$37+'4.Cost of Goods-Svcs Sold'!$H$40)&gt;0,K181*('4.Cost of Goods-Svcs Sold'!$H$37+'4.Cost of Goods-Svcs Sold'!$H$40),0)</f>
        <v>0</v>
      </c>
      <c r="L359" s="270">
        <f>IF(L181*('4.Cost of Goods-Svcs Sold'!$H$37+'4.Cost of Goods-Svcs Sold'!$H$40)&gt;0,L181*('4.Cost of Goods-Svcs Sold'!$H$37+'4.Cost of Goods-Svcs Sold'!$H$40),0)</f>
        <v>0</v>
      </c>
      <c r="M359" s="270">
        <f>IF(M181*('4.Cost of Goods-Svcs Sold'!$H$37+'4.Cost of Goods-Svcs Sold'!$H$40)&gt;0,M181*('4.Cost of Goods-Svcs Sold'!$H$37+'4.Cost of Goods-Svcs Sold'!$H$40),0)</f>
        <v>0</v>
      </c>
      <c r="N359" s="270">
        <f>IF(N181*('4.Cost of Goods-Svcs Sold'!$H$37+'4.Cost of Goods-Svcs Sold'!$H$40)&gt;0,N181*('4.Cost of Goods-Svcs Sold'!$H$37+'4.Cost of Goods-Svcs Sold'!$H$40),0)</f>
        <v>0</v>
      </c>
      <c r="O359" s="270">
        <f>IF(O181*('4.Cost of Goods-Svcs Sold'!$H$37+'4.Cost of Goods-Svcs Sold'!$H$40)&gt;0,O181*('4.Cost of Goods-Svcs Sold'!$H$37+'4.Cost of Goods-Svcs Sold'!$H$40),0)</f>
        <v>0</v>
      </c>
      <c r="P359" s="270">
        <f>IF(P181*('4.Cost of Goods-Svcs Sold'!$H$37+'4.Cost of Goods-Svcs Sold'!$H$40)&gt;0,P181*('4.Cost of Goods-Svcs Sold'!$H$37+'4.Cost of Goods-Svcs Sold'!$H$40),0)</f>
        <v>0</v>
      </c>
      <c r="Q359" s="270">
        <f>IF(Q181*('4.Cost of Goods-Svcs Sold'!$H$37+'4.Cost of Goods-Svcs Sold'!$H$40)&gt;0,Q181*('4.Cost of Goods-Svcs Sold'!$H$37+'4.Cost of Goods-Svcs Sold'!$H$40),0)</f>
        <v>0</v>
      </c>
      <c r="R359" s="270">
        <f>IF(R181*('4.Cost of Goods-Svcs Sold'!$H$37+'4.Cost of Goods-Svcs Sold'!$H$40)&gt;0,R181*('4.Cost of Goods-Svcs Sold'!$H$37+'4.Cost of Goods-Svcs Sold'!$H$40),0)</f>
        <v>0</v>
      </c>
      <c r="S359" s="270">
        <f>IF(S181*('4.Cost of Goods-Svcs Sold'!$H$37+'4.Cost of Goods-Svcs Sold'!$H$40)&gt;0,S181*('4.Cost of Goods-Svcs Sold'!$H$37+'4.Cost of Goods-Svcs Sold'!$H$40),0)</f>
        <v>0</v>
      </c>
    </row>
    <row r="361" spans="2:19">
      <c r="B361" t="str">
        <f>+A194</f>
        <v>Product/Service 16</v>
      </c>
      <c r="E361" s="3" t="s">
        <v>376</v>
      </c>
      <c r="H361" s="270">
        <f>IF(H200*('4.Cost of Goods-Svcs Sold'!$K$37+'4.Cost of Goods-Svcs Sold'!$K$40)&gt;0,H200*('4.Cost of Goods-Svcs Sold'!$K$37+'4.Cost of Goods-Svcs Sold'!$K$40),0)</f>
        <v>0</v>
      </c>
      <c r="I361" s="270">
        <f>IF(I200*('4.Cost of Goods-Svcs Sold'!$K$37+'4.Cost of Goods-Svcs Sold'!$K$40)&gt;0,I200*('4.Cost of Goods-Svcs Sold'!$K$37+'4.Cost of Goods-Svcs Sold'!$K$40),0)</f>
        <v>0</v>
      </c>
      <c r="J361" s="270">
        <f>IF(J200*('4.Cost of Goods-Svcs Sold'!$K$37+'4.Cost of Goods-Svcs Sold'!$K$40)&gt;0,J200*('4.Cost of Goods-Svcs Sold'!$K$37+'4.Cost of Goods-Svcs Sold'!$K$40),0)</f>
        <v>0</v>
      </c>
      <c r="K361" s="270">
        <f>IF(K200*('4.Cost of Goods-Svcs Sold'!$K$37+'4.Cost of Goods-Svcs Sold'!$K$40)&gt;0,K200*('4.Cost of Goods-Svcs Sold'!$K$37+'4.Cost of Goods-Svcs Sold'!$K$40),0)</f>
        <v>0</v>
      </c>
      <c r="L361" s="270">
        <f>IF(L200*('4.Cost of Goods-Svcs Sold'!$K$37+'4.Cost of Goods-Svcs Sold'!$K$40)&gt;0,L200*('4.Cost of Goods-Svcs Sold'!$K$37+'4.Cost of Goods-Svcs Sold'!$K$40),0)</f>
        <v>0</v>
      </c>
      <c r="M361" s="270">
        <f>IF(M200*('4.Cost of Goods-Svcs Sold'!$K$37+'4.Cost of Goods-Svcs Sold'!$K$40)&gt;0,M200*('4.Cost of Goods-Svcs Sold'!$K$37+'4.Cost of Goods-Svcs Sold'!$K$40),0)</f>
        <v>0</v>
      </c>
      <c r="N361" s="270">
        <f>IF(N200*('4.Cost of Goods-Svcs Sold'!$K$37+'4.Cost of Goods-Svcs Sold'!$K$40)&gt;0,N200*('4.Cost of Goods-Svcs Sold'!$K$37+'4.Cost of Goods-Svcs Sold'!$K$40),0)</f>
        <v>0</v>
      </c>
      <c r="O361" s="270">
        <f>IF(O200*('4.Cost of Goods-Svcs Sold'!$K$37+'4.Cost of Goods-Svcs Sold'!$K$40)&gt;0,O200*('4.Cost of Goods-Svcs Sold'!$K$37+'4.Cost of Goods-Svcs Sold'!$K$40),0)</f>
        <v>0</v>
      </c>
      <c r="P361" s="270">
        <f>IF(P200*('4.Cost of Goods-Svcs Sold'!$K$37+'4.Cost of Goods-Svcs Sold'!$K$40)&gt;0,P200*('4.Cost of Goods-Svcs Sold'!$K$37+'4.Cost of Goods-Svcs Sold'!$K$40),0)</f>
        <v>0</v>
      </c>
      <c r="Q361" s="270">
        <f>IF(Q200*('4.Cost of Goods-Svcs Sold'!$K$37+'4.Cost of Goods-Svcs Sold'!$K$40)&gt;0,Q200*('4.Cost of Goods-Svcs Sold'!$K$37+'4.Cost of Goods-Svcs Sold'!$K$40),0)</f>
        <v>0</v>
      </c>
      <c r="R361" s="270">
        <f>IF(R200*('4.Cost of Goods-Svcs Sold'!$K$37+'4.Cost of Goods-Svcs Sold'!$K$40)&gt;0,R200*('4.Cost of Goods-Svcs Sold'!$K$37+'4.Cost of Goods-Svcs Sold'!$K$40),0)</f>
        <v>0</v>
      </c>
      <c r="S361" s="270">
        <f>IF(S200*('4.Cost of Goods-Svcs Sold'!$K$37+'4.Cost of Goods-Svcs Sold'!$K$40)&gt;0,S200*('4.Cost of Goods-Svcs Sold'!$K$37+'4.Cost of Goods-Svcs Sold'!$K$40),0)</f>
        <v>0</v>
      </c>
    </row>
    <row r="362" spans="2:19">
      <c r="E362" s="3" t="s">
        <v>377</v>
      </c>
      <c r="H362" s="270">
        <f>IF(H201*('4.Cost of Goods-Svcs Sold'!$K$37+'4.Cost of Goods-Svcs Sold'!$K$40)&gt;0,H201*('4.Cost of Goods-Svcs Sold'!$K$37+'4.Cost of Goods-Svcs Sold'!$K$40),0)</f>
        <v>0</v>
      </c>
      <c r="I362" s="270">
        <f>IF(I201*('4.Cost of Goods-Svcs Sold'!$K$37+'4.Cost of Goods-Svcs Sold'!$K$40)&gt;0,I201*('4.Cost of Goods-Svcs Sold'!$K$37+'4.Cost of Goods-Svcs Sold'!$K$40),0)</f>
        <v>0</v>
      </c>
      <c r="J362" s="270">
        <f>IF(J201*('4.Cost of Goods-Svcs Sold'!$K$37+'4.Cost of Goods-Svcs Sold'!$K$40)&gt;0,J201*('4.Cost of Goods-Svcs Sold'!$K$37+'4.Cost of Goods-Svcs Sold'!$K$40),0)</f>
        <v>0</v>
      </c>
      <c r="K362" s="270">
        <f>IF(K201*('4.Cost of Goods-Svcs Sold'!$K$37+'4.Cost of Goods-Svcs Sold'!$K$40)&gt;0,K201*('4.Cost of Goods-Svcs Sold'!$K$37+'4.Cost of Goods-Svcs Sold'!$K$40),0)</f>
        <v>0</v>
      </c>
      <c r="L362" s="270">
        <f>IF(L201*('4.Cost of Goods-Svcs Sold'!$K$37+'4.Cost of Goods-Svcs Sold'!$K$40)&gt;0,L201*('4.Cost of Goods-Svcs Sold'!$K$37+'4.Cost of Goods-Svcs Sold'!$K$40),0)</f>
        <v>0</v>
      </c>
      <c r="M362" s="270">
        <f>IF(M201*('4.Cost of Goods-Svcs Sold'!$K$37+'4.Cost of Goods-Svcs Sold'!$K$40)&gt;0,M201*('4.Cost of Goods-Svcs Sold'!$K$37+'4.Cost of Goods-Svcs Sold'!$K$40),0)</f>
        <v>0</v>
      </c>
      <c r="N362" s="270">
        <f>IF(N201*('4.Cost of Goods-Svcs Sold'!$K$37+'4.Cost of Goods-Svcs Sold'!$K$40)&gt;0,N201*('4.Cost of Goods-Svcs Sold'!$K$37+'4.Cost of Goods-Svcs Sold'!$K$40),0)</f>
        <v>0</v>
      </c>
      <c r="O362" s="270">
        <f>IF(O201*('4.Cost of Goods-Svcs Sold'!$K$37+'4.Cost of Goods-Svcs Sold'!$K$40)&gt;0,O201*('4.Cost of Goods-Svcs Sold'!$K$37+'4.Cost of Goods-Svcs Sold'!$K$40),0)</f>
        <v>0</v>
      </c>
      <c r="P362" s="270">
        <f>IF(P201*('4.Cost of Goods-Svcs Sold'!$K$37+'4.Cost of Goods-Svcs Sold'!$K$40)&gt;0,P201*('4.Cost of Goods-Svcs Sold'!$K$37+'4.Cost of Goods-Svcs Sold'!$K$40),0)</f>
        <v>0</v>
      </c>
      <c r="Q362" s="270">
        <f>IF(Q201*('4.Cost of Goods-Svcs Sold'!$K$37+'4.Cost of Goods-Svcs Sold'!$K$40)&gt;0,Q201*('4.Cost of Goods-Svcs Sold'!$K$37+'4.Cost of Goods-Svcs Sold'!$K$40),0)</f>
        <v>0</v>
      </c>
      <c r="R362" s="270">
        <f>IF(R201*('4.Cost of Goods-Svcs Sold'!$K$37+'4.Cost of Goods-Svcs Sold'!$K$40)&gt;0,R201*('4.Cost of Goods-Svcs Sold'!$K$37+'4.Cost of Goods-Svcs Sold'!$K$40),0)</f>
        <v>0</v>
      </c>
      <c r="S362" s="270">
        <f>IF(S201*('4.Cost of Goods-Svcs Sold'!$K$37+'4.Cost of Goods-Svcs Sold'!$K$40)&gt;0,S201*('4.Cost of Goods-Svcs Sold'!$K$37+'4.Cost of Goods-Svcs Sold'!$K$40),0)</f>
        <v>0</v>
      </c>
    </row>
    <row r="363" spans="2:19">
      <c r="E363" s="3" t="s">
        <v>378</v>
      </c>
      <c r="H363" s="270">
        <f>IF(H202*('4.Cost of Goods-Svcs Sold'!$K$37+'4.Cost of Goods-Svcs Sold'!$K$40)&gt;0,H202*('4.Cost of Goods-Svcs Sold'!$K$37+'4.Cost of Goods-Svcs Sold'!$K$40),0)</f>
        <v>0</v>
      </c>
      <c r="I363" s="270">
        <f>IF(I202*('4.Cost of Goods-Svcs Sold'!$K$37+'4.Cost of Goods-Svcs Sold'!$K$40)&gt;0,I202*('4.Cost of Goods-Svcs Sold'!$K$37+'4.Cost of Goods-Svcs Sold'!$K$40),0)</f>
        <v>0</v>
      </c>
      <c r="J363" s="270">
        <f>IF(J202*('4.Cost of Goods-Svcs Sold'!$K$37+'4.Cost of Goods-Svcs Sold'!$K$40)&gt;0,J202*('4.Cost of Goods-Svcs Sold'!$K$37+'4.Cost of Goods-Svcs Sold'!$K$40),0)</f>
        <v>0</v>
      </c>
      <c r="K363" s="270">
        <f>IF(K202*('4.Cost of Goods-Svcs Sold'!$K$37+'4.Cost of Goods-Svcs Sold'!$K$40)&gt;0,K202*('4.Cost of Goods-Svcs Sold'!$K$37+'4.Cost of Goods-Svcs Sold'!$K$40),0)</f>
        <v>0</v>
      </c>
      <c r="L363" s="270">
        <f>IF(L202*('4.Cost of Goods-Svcs Sold'!$K$37+'4.Cost of Goods-Svcs Sold'!$K$40)&gt;0,L202*('4.Cost of Goods-Svcs Sold'!$K$37+'4.Cost of Goods-Svcs Sold'!$K$40),0)</f>
        <v>0</v>
      </c>
      <c r="M363" s="270">
        <f>IF(M202*('4.Cost of Goods-Svcs Sold'!$K$37+'4.Cost of Goods-Svcs Sold'!$K$40)&gt;0,M202*('4.Cost of Goods-Svcs Sold'!$K$37+'4.Cost of Goods-Svcs Sold'!$K$40),0)</f>
        <v>0</v>
      </c>
      <c r="N363" s="270">
        <f>IF(N202*('4.Cost of Goods-Svcs Sold'!$K$37+'4.Cost of Goods-Svcs Sold'!$K$40)&gt;0,N202*('4.Cost of Goods-Svcs Sold'!$K$37+'4.Cost of Goods-Svcs Sold'!$K$40),0)</f>
        <v>0</v>
      </c>
      <c r="O363" s="270">
        <f>IF(O202*('4.Cost of Goods-Svcs Sold'!$K$37+'4.Cost of Goods-Svcs Sold'!$K$40)&gt;0,O202*('4.Cost of Goods-Svcs Sold'!$K$37+'4.Cost of Goods-Svcs Sold'!$K$40),0)</f>
        <v>0</v>
      </c>
      <c r="P363" s="270">
        <f>IF(P202*('4.Cost of Goods-Svcs Sold'!$K$37+'4.Cost of Goods-Svcs Sold'!$K$40)&gt;0,P202*('4.Cost of Goods-Svcs Sold'!$K$37+'4.Cost of Goods-Svcs Sold'!$K$40),0)</f>
        <v>0</v>
      </c>
      <c r="Q363" s="270">
        <f>IF(Q202*('4.Cost of Goods-Svcs Sold'!$K$37+'4.Cost of Goods-Svcs Sold'!$K$40)&gt;0,Q202*('4.Cost of Goods-Svcs Sold'!$K$37+'4.Cost of Goods-Svcs Sold'!$K$40),0)</f>
        <v>0</v>
      </c>
      <c r="R363" s="270">
        <f>IF(R202*('4.Cost of Goods-Svcs Sold'!$K$37+'4.Cost of Goods-Svcs Sold'!$K$40)&gt;0,R202*('4.Cost of Goods-Svcs Sold'!$K$37+'4.Cost of Goods-Svcs Sold'!$K$40),0)</f>
        <v>0</v>
      </c>
      <c r="S363" s="270">
        <f>IF(S202*('4.Cost of Goods-Svcs Sold'!$K$37+'4.Cost of Goods-Svcs Sold'!$K$40)&gt;0,S202*('4.Cost of Goods-Svcs Sold'!$K$37+'4.Cost of Goods-Svcs Sold'!$K$40),0)</f>
        <v>0</v>
      </c>
    </row>
    <row r="365" spans="2:19">
      <c r="B365" t="str">
        <f>+A215</f>
        <v>Product/Service 17</v>
      </c>
      <c r="E365" s="3" t="s">
        <v>376</v>
      </c>
      <c r="H365" s="270">
        <f>IF(H221*('4.Cost of Goods-Svcs Sold'!$B$47+'4.Cost of Goods-Svcs Sold'!$B$50)&gt;0,H221*('4.Cost of Goods-Svcs Sold'!$B$47+'4.Cost of Goods-Svcs Sold'!$B$50),0)</f>
        <v>0</v>
      </c>
      <c r="I365" s="270">
        <f>IF(I221*('4.Cost of Goods-Svcs Sold'!$B$47+'4.Cost of Goods-Svcs Sold'!$B$50)&gt;0,I221*('4.Cost of Goods-Svcs Sold'!$B$47+'4.Cost of Goods-Svcs Sold'!$B$50),0)</f>
        <v>0</v>
      </c>
      <c r="J365" s="270">
        <f>IF(J221*('4.Cost of Goods-Svcs Sold'!$B$47+'4.Cost of Goods-Svcs Sold'!$B$50)&gt;0,J221*('4.Cost of Goods-Svcs Sold'!$B$47+'4.Cost of Goods-Svcs Sold'!$B$50),0)</f>
        <v>0</v>
      </c>
      <c r="K365" s="270">
        <f>IF(K221*('4.Cost of Goods-Svcs Sold'!$B$47+'4.Cost of Goods-Svcs Sold'!$B$50)&gt;0,K221*('4.Cost of Goods-Svcs Sold'!$B$47+'4.Cost of Goods-Svcs Sold'!$B$50),0)</f>
        <v>0</v>
      </c>
      <c r="L365" s="270">
        <f>IF(L221*('4.Cost of Goods-Svcs Sold'!$B$47+'4.Cost of Goods-Svcs Sold'!$B$50)&gt;0,L221*('4.Cost of Goods-Svcs Sold'!$B$47+'4.Cost of Goods-Svcs Sold'!$B$50),0)</f>
        <v>0</v>
      </c>
      <c r="M365" s="270">
        <f>IF(M221*('4.Cost of Goods-Svcs Sold'!$B$47+'4.Cost of Goods-Svcs Sold'!$B$50)&gt;0,M221*('4.Cost of Goods-Svcs Sold'!$B$47+'4.Cost of Goods-Svcs Sold'!$B$50),0)</f>
        <v>0</v>
      </c>
      <c r="N365" s="270">
        <f>IF(N221*('4.Cost of Goods-Svcs Sold'!$B$47+'4.Cost of Goods-Svcs Sold'!$B$50)&gt;0,N221*('4.Cost of Goods-Svcs Sold'!$B$47+'4.Cost of Goods-Svcs Sold'!$B$50),0)</f>
        <v>0</v>
      </c>
      <c r="O365" s="270">
        <f>IF(O221*('4.Cost of Goods-Svcs Sold'!$B$47+'4.Cost of Goods-Svcs Sold'!$B$50)&gt;0,O221*('4.Cost of Goods-Svcs Sold'!$B$47+'4.Cost of Goods-Svcs Sold'!$B$50),0)</f>
        <v>0</v>
      </c>
      <c r="P365" s="270">
        <f>IF(P221*('4.Cost of Goods-Svcs Sold'!$B$47+'4.Cost of Goods-Svcs Sold'!$B$50)&gt;0,P221*('4.Cost of Goods-Svcs Sold'!$B$47+'4.Cost of Goods-Svcs Sold'!$B$50),0)</f>
        <v>0</v>
      </c>
      <c r="Q365" s="270">
        <f>IF(Q221*('4.Cost of Goods-Svcs Sold'!$B$47+'4.Cost of Goods-Svcs Sold'!$B$50)&gt;0,Q221*('4.Cost of Goods-Svcs Sold'!$B$47+'4.Cost of Goods-Svcs Sold'!$B$50),0)</f>
        <v>0</v>
      </c>
      <c r="R365" s="270">
        <f>IF(R221*('4.Cost of Goods-Svcs Sold'!$B$47+'4.Cost of Goods-Svcs Sold'!$B$50)&gt;0,R221*('4.Cost of Goods-Svcs Sold'!$B$47+'4.Cost of Goods-Svcs Sold'!$B$50),0)</f>
        <v>0</v>
      </c>
      <c r="S365" s="270">
        <f>IF(S221*('4.Cost of Goods-Svcs Sold'!$B$47+'4.Cost of Goods-Svcs Sold'!$B$50)&gt;0,S221*('4.Cost of Goods-Svcs Sold'!$B$47+'4.Cost of Goods-Svcs Sold'!$B$50),0)</f>
        <v>0</v>
      </c>
    </row>
    <row r="366" spans="2:19">
      <c r="E366" s="3" t="s">
        <v>377</v>
      </c>
      <c r="H366" s="270">
        <f>IF(H222*('4.Cost of Goods-Svcs Sold'!$B$47+'4.Cost of Goods-Svcs Sold'!$B$50)&gt;0,H222*('4.Cost of Goods-Svcs Sold'!$B$47+'4.Cost of Goods-Svcs Sold'!$B$50),0)</f>
        <v>0</v>
      </c>
      <c r="I366" s="270">
        <f>IF(I222*('4.Cost of Goods-Svcs Sold'!$B$47+'4.Cost of Goods-Svcs Sold'!$B$50)&gt;0,I222*('4.Cost of Goods-Svcs Sold'!$B$47+'4.Cost of Goods-Svcs Sold'!$B$50),0)</f>
        <v>0</v>
      </c>
      <c r="J366" s="270">
        <f>IF(J222*('4.Cost of Goods-Svcs Sold'!$B$47+'4.Cost of Goods-Svcs Sold'!$B$50)&gt;0,J222*('4.Cost of Goods-Svcs Sold'!$B$47+'4.Cost of Goods-Svcs Sold'!$B$50),0)</f>
        <v>0</v>
      </c>
      <c r="K366" s="270">
        <f>IF(K222*('4.Cost of Goods-Svcs Sold'!$B$47+'4.Cost of Goods-Svcs Sold'!$B$50)&gt;0,K222*('4.Cost of Goods-Svcs Sold'!$B$47+'4.Cost of Goods-Svcs Sold'!$B$50),0)</f>
        <v>0</v>
      </c>
      <c r="L366" s="270">
        <f>IF(L222*('4.Cost of Goods-Svcs Sold'!$B$47+'4.Cost of Goods-Svcs Sold'!$B$50)&gt;0,L222*('4.Cost of Goods-Svcs Sold'!$B$47+'4.Cost of Goods-Svcs Sold'!$B$50),0)</f>
        <v>0</v>
      </c>
      <c r="M366" s="270">
        <f>IF(M222*('4.Cost of Goods-Svcs Sold'!$B$47+'4.Cost of Goods-Svcs Sold'!$B$50)&gt;0,M222*('4.Cost of Goods-Svcs Sold'!$B$47+'4.Cost of Goods-Svcs Sold'!$B$50),0)</f>
        <v>0</v>
      </c>
      <c r="N366" s="270">
        <f>IF(N222*('4.Cost of Goods-Svcs Sold'!$B$47+'4.Cost of Goods-Svcs Sold'!$B$50)&gt;0,N222*('4.Cost of Goods-Svcs Sold'!$B$47+'4.Cost of Goods-Svcs Sold'!$B$50),0)</f>
        <v>0</v>
      </c>
      <c r="O366" s="270">
        <f>IF(O222*('4.Cost of Goods-Svcs Sold'!$B$47+'4.Cost of Goods-Svcs Sold'!$B$50)&gt;0,O222*('4.Cost of Goods-Svcs Sold'!$B$47+'4.Cost of Goods-Svcs Sold'!$B$50),0)</f>
        <v>0</v>
      </c>
      <c r="P366" s="270">
        <f>IF(P222*('4.Cost of Goods-Svcs Sold'!$B$47+'4.Cost of Goods-Svcs Sold'!$B$50)&gt;0,P222*('4.Cost of Goods-Svcs Sold'!$B$47+'4.Cost of Goods-Svcs Sold'!$B$50),0)</f>
        <v>0</v>
      </c>
      <c r="Q366" s="270">
        <f>IF(Q222*('4.Cost of Goods-Svcs Sold'!$B$47+'4.Cost of Goods-Svcs Sold'!$B$50)&gt;0,Q222*('4.Cost of Goods-Svcs Sold'!$B$47+'4.Cost of Goods-Svcs Sold'!$B$50),0)</f>
        <v>0</v>
      </c>
      <c r="R366" s="270">
        <f>IF(R222*('4.Cost of Goods-Svcs Sold'!$B$47+'4.Cost of Goods-Svcs Sold'!$B$50)&gt;0,R222*('4.Cost of Goods-Svcs Sold'!$B$47+'4.Cost of Goods-Svcs Sold'!$B$50),0)</f>
        <v>0</v>
      </c>
      <c r="S366" s="270">
        <f>IF(S222*('4.Cost of Goods-Svcs Sold'!$B$47+'4.Cost of Goods-Svcs Sold'!$B$50)&gt;0,S222*('4.Cost of Goods-Svcs Sold'!$B$47+'4.Cost of Goods-Svcs Sold'!$B$50),0)</f>
        <v>0</v>
      </c>
    </row>
    <row r="367" spans="2:19">
      <c r="E367" s="3" t="s">
        <v>378</v>
      </c>
      <c r="H367" s="270">
        <f>IF(H223*('4.Cost of Goods-Svcs Sold'!$B$47+'4.Cost of Goods-Svcs Sold'!$B$50)&gt;0,H223*('4.Cost of Goods-Svcs Sold'!$B$47+'4.Cost of Goods-Svcs Sold'!$B$50),0)</f>
        <v>0</v>
      </c>
      <c r="I367" s="270">
        <f>IF(I223*('4.Cost of Goods-Svcs Sold'!$B$47+'4.Cost of Goods-Svcs Sold'!$B$50)&gt;0,I223*('4.Cost of Goods-Svcs Sold'!$B$47+'4.Cost of Goods-Svcs Sold'!$B$50),0)</f>
        <v>0</v>
      </c>
      <c r="J367" s="270">
        <f>IF(J223*('4.Cost of Goods-Svcs Sold'!$B$47+'4.Cost of Goods-Svcs Sold'!$B$50)&gt;0,J223*('4.Cost of Goods-Svcs Sold'!$B$47+'4.Cost of Goods-Svcs Sold'!$B$50),0)</f>
        <v>0</v>
      </c>
      <c r="K367" s="270">
        <f>IF(K223*('4.Cost of Goods-Svcs Sold'!$B$47+'4.Cost of Goods-Svcs Sold'!$B$50)&gt;0,K223*('4.Cost of Goods-Svcs Sold'!$B$47+'4.Cost of Goods-Svcs Sold'!$B$50),0)</f>
        <v>0</v>
      </c>
      <c r="L367" s="270">
        <f>IF(L223*('4.Cost of Goods-Svcs Sold'!$B$47+'4.Cost of Goods-Svcs Sold'!$B$50)&gt;0,L223*('4.Cost of Goods-Svcs Sold'!$B$47+'4.Cost of Goods-Svcs Sold'!$B$50),0)</f>
        <v>0</v>
      </c>
      <c r="M367" s="270">
        <f>IF(M223*('4.Cost of Goods-Svcs Sold'!$B$47+'4.Cost of Goods-Svcs Sold'!$B$50)&gt;0,M223*('4.Cost of Goods-Svcs Sold'!$B$47+'4.Cost of Goods-Svcs Sold'!$B$50),0)</f>
        <v>0</v>
      </c>
      <c r="N367" s="270">
        <f>IF(N223*('4.Cost of Goods-Svcs Sold'!$B$47+'4.Cost of Goods-Svcs Sold'!$B$50)&gt;0,N223*('4.Cost of Goods-Svcs Sold'!$B$47+'4.Cost of Goods-Svcs Sold'!$B$50),0)</f>
        <v>0</v>
      </c>
      <c r="O367" s="270">
        <f>IF(O223*('4.Cost of Goods-Svcs Sold'!$B$47+'4.Cost of Goods-Svcs Sold'!$B$50)&gt;0,O223*('4.Cost of Goods-Svcs Sold'!$B$47+'4.Cost of Goods-Svcs Sold'!$B$50),0)</f>
        <v>0</v>
      </c>
      <c r="P367" s="270">
        <f>IF(P223*('4.Cost of Goods-Svcs Sold'!$B$47+'4.Cost of Goods-Svcs Sold'!$B$50)&gt;0,P223*('4.Cost of Goods-Svcs Sold'!$B$47+'4.Cost of Goods-Svcs Sold'!$B$50),0)</f>
        <v>0</v>
      </c>
      <c r="Q367" s="270">
        <f>IF(Q223*('4.Cost of Goods-Svcs Sold'!$B$47+'4.Cost of Goods-Svcs Sold'!$B$50)&gt;0,Q223*('4.Cost of Goods-Svcs Sold'!$B$47+'4.Cost of Goods-Svcs Sold'!$B$50),0)</f>
        <v>0</v>
      </c>
      <c r="R367" s="270">
        <f>IF(R223*('4.Cost of Goods-Svcs Sold'!$B$47+'4.Cost of Goods-Svcs Sold'!$B$50)&gt;0,R223*('4.Cost of Goods-Svcs Sold'!$B$47+'4.Cost of Goods-Svcs Sold'!$B$50),0)</f>
        <v>0</v>
      </c>
      <c r="S367" s="270">
        <f>IF(S223*('4.Cost of Goods-Svcs Sold'!$B$47+'4.Cost of Goods-Svcs Sold'!$B$50)&gt;0,S223*('4.Cost of Goods-Svcs Sold'!$B$47+'4.Cost of Goods-Svcs Sold'!$B$50),0)</f>
        <v>0</v>
      </c>
    </row>
    <row r="369" spans="2:19">
      <c r="B369" t="str">
        <f>+A236</f>
        <v>Product/Service 18</v>
      </c>
      <c r="E369" s="3" t="s">
        <v>376</v>
      </c>
      <c r="H369" s="270">
        <f>IF(H242*('4.Cost of Goods-Svcs Sold'!$E$47+'4.Cost of Goods-Svcs Sold'!$E$50)&gt;0,H242*('4.Cost of Goods-Svcs Sold'!$E$47+'4.Cost of Goods-Svcs Sold'!$E$50),0)</f>
        <v>0</v>
      </c>
      <c r="I369" s="270">
        <f>IF(I242*('4.Cost of Goods-Svcs Sold'!$E$47+'4.Cost of Goods-Svcs Sold'!$E$50)&gt;0,I242*('4.Cost of Goods-Svcs Sold'!$E$47+'4.Cost of Goods-Svcs Sold'!$E$50),0)</f>
        <v>0</v>
      </c>
      <c r="J369" s="270">
        <f>IF(J242*('4.Cost of Goods-Svcs Sold'!$E$47+'4.Cost of Goods-Svcs Sold'!$E$50)&gt;0,J242*('4.Cost of Goods-Svcs Sold'!$E$47+'4.Cost of Goods-Svcs Sold'!$E$50),0)</f>
        <v>0</v>
      </c>
      <c r="K369" s="270">
        <f>IF(K242*('4.Cost of Goods-Svcs Sold'!$E$47+'4.Cost of Goods-Svcs Sold'!$E$50)&gt;0,K242*('4.Cost of Goods-Svcs Sold'!$E$47+'4.Cost of Goods-Svcs Sold'!$E$50),0)</f>
        <v>0</v>
      </c>
      <c r="L369" s="270">
        <f>IF(L242*('4.Cost of Goods-Svcs Sold'!$E$47+'4.Cost of Goods-Svcs Sold'!$E$50)&gt;0,L242*('4.Cost of Goods-Svcs Sold'!$E$47+'4.Cost of Goods-Svcs Sold'!$E$50),0)</f>
        <v>0</v>
      </c>
      <c r="M369" s="270">
        <f>IF(M242*('4.Cost of Goods-Svcs Sold'!$E$47+'4.Cost of Goods-Svcs Sold'!$E$50)&gt;0,M242*('4.Cost of Goods-Svcs Sold'!$E$47+'4.Cost of Goods-Svcs Sold'!$E$50),0)</f>
        <v>0</v>
      </c>
      <c r="N369" s="270">
        <f>IF(N242*('4.Cost of Goods-Svcs Sold'!$E$47+'4.Cost of Goods-Svcs Sold'!$E$50)&gt;0,N242*('4.Cost of Goods-Svcs Sold'!$E$47+'4.Cost of Goods-Svcs Sold'!$E$50),0)</f>
        <v>0</v>
      </c>
      <c r="O369" s="270">
        <f>IF(O242*('4.Cost of Goods-Svcs Sold'!$E$47+'4.Cost of Goods-Svcs Sold'!$E$50)&gt;0,O242*('4.Cost of Goods-Svcs Sold'!$E$47+'4.Cost of Goods-Svcs Sold'!$E$50),0)</f>
        <v>0</v>
      </c>
      <c r="P369" s="270">
        <f>IF(P242*('4.Cost of Goods-Svcs Sold'!$E$47+'4.Cost of Goods-Svcs Sold'!$E$50)&gt;0,P242*('4.Cost of Goods-Svcs Sold'!$E$47+'4.Cost of Goods-Svcs Sold'!$E$50),0)</f>
        <v>0</v>
      </c>
      <c r="Q369" s="270">
        <f>IF(Q242*('4.Cost of Goods-Svcs Sold'!$E$47+'4.Cost of Goods-Svcs Sold'!$E$50)&gt;0,Q242*('4.Cost of Goods-Svcs Sold'!$E$47+'4.Cost of Goods-Svcs Sold'!$E$50),0)</f>
        <v>0</v>
      </c>
      <c r="R369" s="270">
        <f>IF(R242*('4.Cost of Goods-Svcs Sold'!$E$47+'4.Cost of Goods-Svcs Sold'!$E$50)&gt;0,R242*('4.Cost of Goods-Svcs Sold'!$E$47+'4.Cost of Goods-Svcs Sold'!$E$50),0)</f>
        <v>0</v>
      </c>
      <c r="S369" s="270">
        <f>IF(S242*('4.Cost of Goods-Svcs Sold'!$E$47+'4.Cost of Goods-Svcs Sold'!$E$50)&gt;0,S242*('4.Cost of Goods-Svcs Sold'!$E$47+'4.Cost of Goods-Svcs Sold'!$E$50),0)</f>
        <v>0</v>
      </c>
    </row>
    <row r="370" spans="2:19">
      <c r="E370" s="3" t="s">
        <v>377</v>
      </c>
      <c r="H370" s="270">
        <f>IF(H243*('4.Cost of Goods-Svcs Sold'!$E$47+'4.Cost of Goods-Svcs Sold'!$E$50)&gt;0,H243*('4.Cost of Goods-Svcs Sold'!$E$47+'4.Cost of Goods-Svcs Sold'!$E$50),0)</f>
        <v>0</v>
      </c>
      <c r="I370" s="270">
        <f>IF(I243*('4.Cost of Goods-Svcs Sold'!$E$47+'4.Cost of Goods-Svcs Sold'!$E$50)&gt;0,I243*('4.Cost of Goods-Svcs Sold'!$E$47+'4.Cost of Goods-Svcs Sold'!$E$50),0)</f>
        <v>0</v>
      </c>
      <c r="J370" s="270">
        <f>IF(J243*('4.Cost of Goods-Svcs Sold'!$E$47+'4.Cost of Goods-Svcs Sold'!$E$50)&gt;0,J243*('4.Cost of Goods-Svcs Sold'!$E$47+'4.Cost of Goods-Svcs Sold'!$E$50),0)</f>
        <v>0</v>
      </c>
      <c r="K370" s="270">
        <f>IF(K243*('4.Cost of Goods-Svcs Sold'!$E$47+'4.Cost of Goods-Svcs Sold'!$E$50)&gt;0,K243*('4.Cost of Goods-Svcs Sold'!$E$47+'4.Cost of Goods-Svcs Sold'!$E$50),0)</f>
        <v>0</v>
      </c>
      <c r="L370" s="270">
        <f>IF(L243*('4.Cost of Goods-Svcs Sold'!$E$47+'4.Cost of Goods-Svcs Sold'!$E$50)&gt;0,L243*('4.Cost of Goods-Svcs Sold'!$E$47+'4.Cost of Goods-Svcs Sold'!$E$50),0)</f>
        <v>0</v>
      </c>
      <c r="M370" s="270">
        <f>IF(M243*('4.Cost of Goods-Svcs Sold'!$E$47+'4.Cost of Goods-Svcs Sold'!$E$50)&gt;0,M243*('4.Cost of Goods-Svcs Sold'!$E$47+'4.Cost of Goods-Svcs Sold'!$E$50),0)</f>
        <v>0</v>
      </c>
      <c r="N370" s="270">
        <f>IF(N243*('4.Cost of Goods-Svcs Sold'!$E$47+'4.Cost of Goods-Svcs Sold'!$E$50)&gt;0,N243*('4.Cost of Goods-Svcs Sold'!$E$47+'4.Cost of Goods-Svcs Sold'!$E$50),0)</f>
        <v>0</v>
      </c>
      <c r="O370" s="270">
        <f>IF(O243*('4.Cost of Goods-Svcs Sold'!$E$47+'4.Cost of Goods-Svcs Sold'!$E$50)&gt;0,O243*('4.Cost of Goods-Svcs Sold'!$E$47+'4.Cost of Goods-Svcs Sold'!$E$50),0)</f>
        <v>0</v>
      </c>
      <c r="P370" s="270">
        <f>IF(P243*('4.Cost of Goods-Svcs Sold'!$E$47+'4.Cost of Goods-Svcs Sold'!$E$50)&gt;0,P243*('4.Cost of Goods-Svcs Sold'!$E$47+'4.Cost of Goods-Svcs Sold'!$E$50),0)</f>
        <v>0</v>
      </c>
      <c r="Q370" s="270">
        <f>IF(Q243*('4.Cost of Goods-Svcs Sold'!$E$47+'4.Cost of Goods-Svcs Sold'!$E$50)&gt;0,Q243*('4.Cost of Goods-Svcs Sold'!$E$47+'4.Cost of Goods-Svcs Sold'!$E$50),0)</f>
        <v>0</v>
      </c>
      <c r="R370" s="270">
        <f>IF(R243*('4.Cost of Goods-Svcs Sold'!$E$47+'4.Cost of Goods-Svcs Sold'!$E$50)&gt;0,R243*('4.Cost of Goods-Svcs Sold'!$E$47+'4.Cost of Goods-Svcs Sold'!$E$50),0)</f>
        <v>0</v>
      </c>
      <c r="S370" s="270">
        <f>IF(S243*('4.Cost of Goods-Svcs Sold'!$E$47+'4.Cost of Goods-Svcs Sold'!$E$50)&gt;0,S243*('4.Cost of Goods-Svcs Sold'!$E$47+'4.Cost of Goods-Svcs Sold'!$E$50),0)</f>
        <v>0</v>
      </c>
    </row>
    <row r="371" spans="2:19">
      <c r="E371" s="3" t="s">
        <v>378</v>
      </c>
      <c r="H371" s="270">
        <f>IF(H244*('4.Cost of Goods-Svcs Sold'!$E$47+'4.Cost of Goods-Svcs Sold'!$E$50)&gt;0,H244*('4.Cost of Goods-Svcs Sold'!$E$47+'4.Cost of Goods-Svcs Sold'!$E$50),0)</f>
        <v>0</v>
      </c>
      <c r="I371" s="270">
        <f>IF(I244*('4.Cost of Goods-Svcs Sold'!$E$47+'4.Cost of Goods-Svcs Sold'!$E$50)&gt;0,I244*('4.Cost of Goods-Svcs Sold'!$E$47+'4.Cost of Goods-Svcs Sold'!$E$50),0)</f>
        <v>0</v>
      </c>
      <c r="J371" s="270">
        <f>IF(J244*('4.Cost of Goods-Svcs Sold'!$E$47+'4.Cost of Goods-Svcs Sold'!$E$50)&gt;0,J244*('4.Cost of Goods-Svcs Sold'!$E$47+'4.Cost of Goods-Svcs Sold'!$E$50),0)</f>
        <v>0</v>
      </c>
      <c r="K371" s="270">
        <f>IF(K244*('4.Cost of Goods-Svcs Sold'!$E$47+'4.Cost of Goods-Svcs Sold'!$E$50)&gt;0,K244*('4.Cost of Goods-Svcs Sold'!$E$47+'4.Cost of Goods-Svcs Sold'!$E$50),0)</f>
        <v>0</v>
      </c>
      <c r="L371" s="270">
        <f>IF(L244*('4.Cost of Goods-Svcs Sold'!$E$47+'4.Cost of Goods-Svcs Sold'!$E$50)&gt;0,L244*('4.Cost of Goods-Svcs Sold'!$E$47+'4.Cost of Goods-Svcs Sold'!$E$50),0)</f>
        <v>0</v>
      </c>
      <c r="M371" s="270">
        <f>IF(M244*('4.Cost of Goods-Svcs Sold'!$E$47+'4.Cost of Goods-Svcs Sold'!$E$50)&gt;0,M244*('4.Cost of Goods-Svcs Sold'!$E$47+'4.Cost of Goods-Svcs Sold'!$E$50),0)</f>
        <v>0</v>
      </c>
      <c r="N371" s="270">
        <f>IF(N244*('4.Cost of Goods-Svcs Sold'!$E$47+'4.Cost of Goods-Svcs Sold'!$E$50)&gt;0,N244*('4.Cost of Goods-Svcs Sold'!$E$47+'4.Cost of Goods-Svcs Sold'!$E$50),0)</f>
        <v>0</v>
      </c>
      <c r="O371" s="270">
        <f>IF(O244*('4.Cost of Goods-Svcs Sold'!$E$47+'4.Cost of Goods-Svcs Sold'!$E$50)&gt;0,O244*('4.Cost of Goods-Svcs Sold'!$E$47+'4.Cost of Goods-Svcs Sold'!$E$50),0)</f>
        <v>0</v>
      </c>
      <c r="P371" s="270">
        <f>IF(P244*('4.Cost of Goods-Svcs Sold'!$E$47+'4.Cost of Goods-Svcs Sold'!$E$50)&gt;0,P244*('4.Cost of Goods-Svcs Sold'!$E$47+'4.Cost of Goods-Svcs Sold'!$E$50),0)</f>
        <v>0</v>
      </c>
      <c r="Q371" s="270">
        <f>IF(Q244*('4.Cost of Goods-Svcs Sold'!$E$47+'4.Cost of Goods-Svcs Sold'!$E$50)&gt;0,Q244*('4.Cost of Goods-Svcs Sold'!$E$47+'4.Cost of Goods-Svcs Sold'!$E$50),0)</f>
        <v>0</v>
      </c>
      <c r="R371" s="270">
        <f>IF(R244*('4.Cost of Goods-Svcs Sold'!$E$47+'4.Cost of Goods-Svcs Sold'!$E$50)&gt;0,R244*('4.Cost of Goods-Svcs Sold'!$E$47+'4.Cost of Goods-Svcs Sold'!$E$50),0)</f>
        <v>0</v>
      </c>
      <c r="S371" s="270">
        <f>IF(S244*('4.Cost of Goods-Svcs Sold'!$E$47+'4.Cost of Goods-Svcs Sold'!$E$50)&gt;0,S244*('4.Cost of Goods-Svcs Sold'!$E$47+'4.Cost of Goods-Svcs Sold'!$E$50),0)</f>
        <v>0</v>
      </c>
    </row>
    <row r="373" spans="2:19">
      <c r="B373" t="str">
        <f>+A257</f>
        <v>Product/Service 19</v>
      </c>
      <c r="E373" s="3" t="s">
        <v>376</v>
      </c>
      <c r="H373" s="270">
        <f>IF(H263*('4.Cost of Goods-Svcs Sold'!$H$47+'4.Cost of Goods-Svcs Sold'!$H$50)&gt;0,H263*('4.Cost of Goods-Svcs Sold'!$H$47+'4.Cost of Goods-Svcs Sold'!$H$50),0)</f>
        <v>0</v>
      </c>
      <c r="I373" s="270">
        <f>IF(I263*('4.Cost of Goods-Svcs Sold'!$H$47+'4.Cost of Goods-Svcs Sold'!$H$50)&gt;0,I263*('4.Cost of Goods-Svcs Sold'!$H$47+'4.Cost of Goods-Svcs Sold'!$H$50),0)</f>
        <v>0</v>
      </c>
      <c r="J373" s="270">
        <f>IF(J263*('4.Cost of Goods-Svcs Sold'!$H$47+'4.Cost of Goods-Svcs Sold'!$H$50)&gt;0,J263*('4.Cost of Goods-Svcs Sold'!$H$47+'4.Cost of Goods-Svcs Sold'!$H$50),0)</f>
        <v>0</v>
      </c>
      <c r="K373" s="270">
        <f>IF(K263*('4.Cost of Goods-Svcs Sold'!$H$47+'4.Cost of Goods-Svcs Sold'!$H$50)&gt;0,K263*('4.Cost of Goods-Svcs Sold'!$H$47+'4.Cost of Goods-Svcs Sold'!$H$50),0)</f>
        <v>0</v>
      </c>
      <c r="L373" s="270">
        <f>IF(L263*('4.Cost of Goods-Svcs Sold'!$H$47+'4.Cost of Goods-Svcs Sold'!$H$50)&gt;0,L263*('4.Cost of Goods-Svcs Sold'!$H$47+'4.Cost of Goods-Svcs Sold'!$H$50),0)</f>
        <v>0</v>
      </c>
      <c r="M373" s="270">
        <f>IF(M263*('4.Cost of Goods-Svcs Sold'!$H$47+'4.Cost of Goods-Svcs Sold'!$H$50)&gt;0,M263*('4.Cost of Goods-Svcs Sold'!$H$47+'4.Cost of Goods-Svcs Sold'!$H$50),0)</f>
        <v>0</v>
      </c>
      <c r="N373" s="270">
        <f>IF(N263*('4.Cost of Goods-Svcs Sold'!$H$47+'4.Cost of Goods-Svcs Sold'!$H$50)&gt;0,N263*('4.Cost of Goods-Svcs Sold'!$H$47+'4.Cost of Goods-Svcs Sold'!$H$50),0)</f>
        <v>0</v>
      </c>
      <c r="O373" s="270">
        <f>IF(O263*('4.Cost of Goods-Svcs Sold'!$H$47+'4.Cost of Goods-Svcs Sold'!$H$50)&gt;0,O263*('4.Cost of Goods-Svcs Sold'!$H$47+'4.Cost of Goods-Svcs Sold'!$H$50),0)</f>
        <v>0</v>
      </c>
      <c r="P373" s="270">
        <f>IF(P263*('4.Cost of Goods-Svcs Sold'!$H$47+'4.Cost of Goods-Svcs Sold'!$H$50)&gt;0,P263*('4.Cost of Goods-Svcs Sold'!$H$47+'4.Cost of Goods-Svcs Sold'!$H$50),0)</f>
        <v>0</v>
      </c>
      <c r="Q373" s="270">
        <f>IF(Q263*('4.Cost of Goods-Svcs Sold'!$H$47+'4.Cost of Goods-Svcs Sold'!$H$50)&gt;0,Q263*('4.Cost of Goods-Svcs Sold'!$H$47+'4.Cost of Goods-Svcs Sold'!$H$50),0)</f>
        <v>0</v>
      </c>
      <c r="R373" s="270">
        <f>IF(R263*('4.Cost of Goods-Svcs Sold'!$H$47+'4.Cost of Goods-Svcs Sold'!$H$50)&gt;0,R263*('4.Cost of Goods-Svcs Sold'!$H$47+'4.Cost of Goods-Svcs Sold'!$H$50),0)</f>
        <v>0</v>
      </c>
      <c r="S373" s="270">
        <f>IF(S263*('4.Cost of Goods-Svcs Sold'!$H$47+'4.Cost of Goods-Svcs Sold'!$H$50)&gt;0,S263*('4.Cost of Goods-Svcs Sold'!$H$47+'4.Cost of Goods-Svcs Sold'!$H$50),0)</f>
        <v>0</v>
      </c>
    </row>
    <row r="374" spans="2:19">
      <c r="E374" s="3" t="s">
        <v>377</v>
      </c>
      <c r="H374" s="270">
        <f>IF(H264*('4.Cost of Goods-Svcs Sold'!$H$47+'4.Cost of Goods-Svcs Sold'!$H$50)&gt;0,H264*('4.Cost of Goods-Svcs Sold'!$H$47+'4.Cost of Goods-Svcs Sold'!$H$50),0)</f>
        <v>0</v>
      </c>
      <c r="I374" s="270">
        <f>IF(I264*('4.Cost of Goods-Svcs Sold'!$H$47+'4.Cost of Goods-Svcs Sold'!$H$50)&gt;0,I264*('4.Cost of Goods-Svcs Sold'!$H$47+'4.Cost of Goods-Svcs Sold'!$H$50),0)</f>
        <v>0</v>
      </c>
      <c r="J374" s="270">
        <f>IF(J264*('4.Cost of Goods-Svcs Sold'!$H$47+'4.Cost of Goods-Svcs Sold'!$H$50)&gt;0,J264*('4.Cost of Goods-Svcs Sold'!$H$47+'4.Cost of Goods-Svcs Sold'!$H$50),0)</f>
        <v>0</v>
      </c>
      <c r="K374" s="270">
        <f>IF(K264*('4.Cost of Goods-Svcs Sold'!$H$47+'4.Cost of Goods-Svcs Sold'!$H$50)&gt;0,K264*('4.Cost of Goods-Svcs Sold'!$H$47+'4.Cost of Goods-Svcs Sold'!$H$50),0)</f>
        <v>0</v>
      </c>
      <c r="L374" s="270">
        <f>IF(L264*('4.Cost of Goods-Svcs Sold'!$H$47+'4.Cost of Goods-Svcs Sold'!$H$50)&gt;0,L264*('4.Cost of Goods-Svcs Sold'!$H$47+'4.Cost of Goods-Svcs Sold'!$H$50),0)</f>
        <v>0</v>
      </c>
      <c r="M374" s="270">
        <f>IF(M264*('4.Cost of Goods-Svcs Sold'!$H$47+'4.Cost of Goods-Svcs Sold'!$H$50)&gt;0,M264*('4.Cost of Goods-Svcs Sold'!$H$47+'4.Cost of Goods-Svcs Sold'!$H$50),0)</f>
        <v>0</v>
      </c>
      <c r="N374" s="270">
        <f>IF(N264*('4.Cost of Goods-Svcs Sold'!$H$47+'4.Cost of Goods-Svcs Sold'!$H$50)&gt;0,N264*('4.Cost of Goods-Svcs Sold'!$H$47+'4.Cost of Goods-Svcs Sold'!$H$50),0)</f>
        <v>0</v>
      </c>
      <c r="O374" s="270">
        <f>IF(O264*('4.Cost of Goods-Svcs Sold'!$H$47+'4.Cost of Goods-Svcs Sold'!$H$50)&gt;0,O264*('4.Cost of Goods-Svcs Sold'!$H$47+'4.Cost of Goods-Svcs Sold'!$H$50),0)</f>
        <v>0</v>
      </c>
      <c r="P374" s="270">
        <f>IF(P264*('4.Cost of Goods-Svcs Sold'!$H$47+'4.Cost of Goods-Svcs Sold'!$H$50)&gt;0,P264*('4.Cost of Goods-Svcs Sold'!$H$47+'4.Cost of Goods-Svcs Sold'!$H$50),0)</f>
        <v>0</v>
      </c>
      <c r="Q374" s="270">
        <f>IF(Q264*('4.Cost of Goods-Svcs Sold'!$H$47+'4.Cost of Goods-Svcs Sold'!$H$50)&gt;0,Q264*('4.Cost of Goods-Svcs Sold'!$H$47+'4.Cost of Goods-Svcs Sold'!$H$50),0)</f>
        <v>0</v>
      </c>
      <c r="R374" s="270">
        <f>IF(R264*('4.Cost of Goods-Svcs Sold'!$H$47+'4.Cost of Goods-Svcs Sold'!$H$50)&gt;0,R264*('4.Cost of Goods-Svcs Sold'!$H$47+'4.Cost of Goods-Svcs Sold'!$H$50),0)</f>
        <v>0</v>
      </c>
      <c r="S374" s="270">
        <f>IF(S264*('4.Cost of Goods-Svcs Sold'!$H$47+'4.Cost of Goods-Svcs Sold'!$H$50)&gt;0,S264*('4.Cost of Goods-Svcs Sold'!$H$47+'4.Cost of Goods-Svcs Sold'!$H$50),0)</f>
        <v>0</v>
      </c>
    </row>
    <row r="375" spans="2:19">
      <c r="E375" s="3" t="s">
        <v>378</v>
      </c>
      <c r="H375" s="270">
        <f>IF(H265*('4.Cost of Goods-Svcs Sold'!$H$47+'4.Cost of Goods-Svcs Sold'!$H$50)&gt;0,H265*('4.Cost of Goods-Svcs Sold'!$H$47+'4.Cost of Goods-Svcs Sold'!$H$50),0)</f>
        <v>0</v>
      </c>
      <c r="I375" s="270">
        <f>IF(I265*('4.Cost of Goods-Svcs Sold'!$H$47+'4.Cost of Goods-Svcs Sold'!$H$50)&gt;0,I265*('4.Cost of Goods-Svcs Sold'!$H$47+'4.Cost of Goods-Svcs Sold'!$H$50),0)</f>
        <v>0</v>
      </c>
      <c r="J375" s="270">
        <f>IF(J265*('4.Cost of Goods-Svcs Sold'!$H$47+'4.Cost of Goods-Svcs Sold'!$H$50)&gt;0,J265*('4.Cost of Goods-Svcs Sold'!$H$47+'4.Cost of Goods-Svcs Sold'!$H$50),0)</f>
        <v>0</v>
      </c>
      <c r="K375" s="270">
        <f>IF(K265*('4.Cost of Goods-Svcs Sold'!$H$47+'4.Cost of Goods-Svcs Sold'!$H$50)&gt;0,K265*('4.Cost of Goods-Svcs Sold'!$H$47+'4.Cost of Goods-Svcs Sold'!$H$50),0)</f>
        <v>0</v>
      </c>
      <c r="L375" s="270">
        <f>IF(L265*('4.Cost of Goods-Svcs Sold'!$H$47+'4.Cost of Goods-Svcs Sold'!$H$50)&gt;0,L265*('4.Cost of Goods-Svcs Sold'!$H$47+'4.Cost of Goods-Svcs Sold'!$H$50),0)</f>
        <v>0</v>
      </c>
      <c r="M375" s="270">
        <f>IF(M265*('4.Cost of Goods-Svcs Sold'!$H$47+'4.Cost of Goods-Svcs Sold'!$H$50)&gt;0,M265*('4.Cost of Goods-Svcs Sold'!$H$47+'4.Cost of Goods-Svcs Sold'!$H$50),0)</f>
        <v>0</v>
      </c>
      <c r="N375" s="270">
        <f>IF(N265*('4.Cost of Goods-Svcs Sold'!$H$47+'4.Cost of Goods-Svcs Sold'!$H$50)&gt;0,N265*('4.Cost of Goods-Svcs Sold'!$H$47+'4.Cost of Goods-Svcs Sold'!$H$50),0)</f>
        <v>0</v>
      </c>
      <c r="O375" s="270">
        <f>IF(O265*('4.Cost of Goods-Svcs Sold'!$H$47+'4.Cost of Goods-Svcs Sold'!$H$50)&gt;0,O265*('4.Cost of Goods-Svcs Sold'!$H$47+'4.Cost of Goods-Svcs Sold'!$H$50),0)</f>
        <v>0</v>
      </c>
      <c r="P375" s="270">
        <f>IF(P265*('4.Cost of Goods-Svcs Sold'!$H$47+'4.Cost of Goods-Svcs Sold'!$H$50)&gt;0,P265*('4.Cost of Goods-Svcs Sold'!$H$47+'4.Cost of Goods-Svcs Sold'!$H$50),0)</f>
        <v>0</v>
      </c>
      <c r="Q375" s="270">
        <f>IF(Q265*('4.Cost of Goods-Svcs Sold'!$H$47+'4.Cost of Goods-Svcs Sold'!$H$50)&gt;0,Q265*('4.Cost of Goods-Svcs Sold'!$H$47+'4.Cost of Goods-Svcs Sold'!$H$50),0)</f>
        <v>0</v>
      </c>
      <c r="R375" s="270">
        <f>IF(R265*('4.Cost of Goods-Svcs Sold'!$H$47+'4.Cost of Goods-Svcs Sold'!$H$50)&gt;0,R265*('4.Cost of Goods-Svcs Sold'!$H$47+'4.Cost of Goods-Svcs Sold'!$H$50),0)</f>
        <v>0</v>
      </c>
      <c r="S375" s="270">
        <f>IF(S265*('4.Cost of Goods-Svcs Sold'!$H$47+'4.Cost of Goods-Svcs Sold'!$H$50)&gt;0,S265*('4.Cost of Goods-Svcs Sold'!$H$47+'4.Cost of Goods-Svcs Sold'!$H$50),0)</f>
        <v>0</v>
      </c>
    </row>
    <row r="377" spans="2:19">
      <c r="B377" t="str">
        <f>+A278</f>
        <v>Product/Service 20</v>
      </c>
      <c r="E377" s="3" t="s">
        <v>376</v>
      </c>
      <c r="H377" s="270">
        <f>IF(H284*('4.Cost of Goods-Svcs Sold'!$K$47+'4.Cost of Goods-Svcs Sold'!$K$50)&gt;0,H284*('4.Cost of Goods-Svcs Sold'!$K$47+'4.Cost of Goods-Svcs Sold'!$K$50),0)</f>
        <v>0</v>
      </c>
      <c r="I377" s="270">
        <f>IF(I284*('4.Cost of Goods-Svcs Sold'!$K$47+'4.Cost of Goods-Svcs Sold'!$K$50)&gt;0,I284*('4.Cost of Goods-Svcs Sold'!$K$47+'4.Cost of Goods-Svcs Sold'!$K$50),0)</f>
        <v>0</v>
      </c>
      <c r="J377" s="270">
        <f>IF(J284*('4.Cost of Goods-Svcs Sold'!$K$47+'4.Cost of Goods-Svcs Sold'!$K$50)&gt;0,J284*('4.Cost of Goods-Svcs Sold'!$K$47+'4.Cost of Goods-Svcs Sold'!$K$50),0)</f>
        <v>0</v>
      </c>
      <c r="K377" s="270">
        <f>IF(K284*('4.Cost of Goods-Svcs Sold'!$K$47+'4.Cost of Goods-Svcs Sold'!$K$50)&gt;0,K284*('4.Cost of Goods-Svcs Sold'!$K$47+'4.Cost of Goods-Svcs Sold'!$K$50),0)</f>
        <v>0</v>
      </c>
      <c r="L377" s="270">
        <f>IF(L284*('4.Cost of Goods-Svcs Sold'!$K$47+'4.Cost of Goods-Svcs Sold'!$K$50)&gt;0,L284*('4.Cost of Goods-Svcs Sold'!$K$47+'4.Cost of Goods-Svcs Sold'!$K$50),0)</f>
        <v>0</v>
      </c>
      <c r="M377" s="270">
        <f>IF(M284*('4.Cost of Goods-Svcs Sold'!$K$47+'4.Cost of Goods-Svcs Sold'!$K$50)&gt;0,M284*('4.Cost of Goods-Svcs Sold'!$K$47+'4.Cost of Goods-Svcs Sold'!$K$50),0)</f>
        <v>0</v>
      </c>
      <c r="N377" s="270">
        <f>IF(N284*('4.Cost of Goods-Svcs Sold'!$K$47+'4.Cost of Goods-Svcs Sold'!$K$50)&gt;0,N284*('4.Cost of Goods-Svcs Sold'!$K$47+'4.Cost of Goods-Svcs Sold'!$K$50),0)</f>
        <v>0</v>
      </c>
      <c r="O377" s="270">
        <f>IF(O284*('4.Cost of Goods-Svcs Sold'!$K$47+'4.Cost of Goods-Svcs Sold'!$K$50)&gt;0,O284*('4.Cost of Goods-Svcs Sold'!$K$47+'4.Cost of Goods-Svcs Sold'!$K$50),0)</f>
        <v>0</v>
      </c>
      <c r="P377" s="270">
        <f>IF(P284*('4.Cost of Goods-Svcs Sold'!$K$47+'4.Cost of Goods-Svcs Sold'!$K$50)&gt;0,P284*('4.Cost of Goods-Svcs Sold'!$K$47+'4.Cost of Goods-Svcs Sold'!$K$50),0)</f>
        <v>0</v>
      </c>
      <c r="Q377" s="270">
        <f>IF(Q284*('4.Cost of Goods-Svcs Sold'!$K$47+'4.Cost of Goods-Svcs Sold'!$K$50)&gt;0,Q284*('4.Cost of Goods-Svcs Sold'!$K$47+'4.Cost of Goods-Svcs Sold'!$K$50),0)</f>
        <v>0</v>
      </c>
      <c r="R377" s="270">
        <f>IF(R284*('4.Cost of Goods-Svcs Sold'!$K$47+'4.Cost of Goods-Svcs Sold'!$K$50)&gt;0,R284*('4.Cost of Goods-Svcs Sold'!$K$47+'4.Cost of Goods-Svcs Sold'!$K$50),0)</f>
        <v>0</v>
      </c>
      <c r="S377" s="270">
        <f>IF(S284*('4.Cost of Goods-Svcs Sold'!$K$47+'4.Cost of Goods-Svcs Sold'!$K$50)&gt;0,S284*('4.Cost of Goods-Svcs Sold'!$K$47+'4.Cost of Goods-Svcs Sold'!$K$50),0)</f>
        <v>0</v>
      </c>
    </row>
    <row r="378" spans="2:19">
      <c r="E378" s="3" t="s">
        <v>377</v>
      </c>
      <c r="H378" s="270">
        <f>IF(H285*('4.Cost of Goods-Svcs Sold'!$K$47+'4.Cost of Goods-Svcs Sold'!$K$50)&gt;0,H285*('4.Cost of Goods-Svcs Sold'!$K$47+'4.Cost of Goods-Svcs Sold'!$K$50),0)</f>
        <v>0</v>
      </c>
      <c r="I378" s="270">
        <f>IF(I285*('4.Cost of Goods-Svcs Sold'!$K$47+'4.Cost of Goods-Svcs Sold'!$K$50)&gt;0,I285*('4.Cost of Goods-Svcs Sold'!$K$47+'4.Cost of Goods-Svcs Sold'!$K$50),0)</f>
        <v>0</v>
      </c>
      <c r="J378" s="270">
        <f>IF(J285*('4.Cost of Goods-Svcs Sold'!$K$47+'4.Cost of Goods-Svcs Sold'!$K$50)&gt;0,J285*('4.Cost of Goods-Svcs Sold'!$K$47+'4.Cost of Goods-Svcs Sold'!$K$50),0)</f>
        <v>0</v>
      </c>
      <c r="K378" s="270">
        <f>IF(K285*('4.Cost of Goods-Svcs Sold'!$K$47+'4.Cost of Goods-Svcs Sold'!$K$50)&gt;0,K285*('4.Cost of Goods-Svcs Sold'!$K$47+'4.Cost of Goods-Svcs Sold'!$K$50),0)</f>
        <v>0</v>
      </c>
      <c r="L378" s="270">
        <f>IF(L285*('4.Cost of Goods-Svcs Sold'!$K$47+'4.Cost of Goods-Svcs Sold'!$K$50)&gt;0,L285*('4.Cost of Goods-Svcs Sold'!$K$47+'4.Cost of Goods-Svcs Sold'!$K$50),0)</f>
        <v>0</v>
      </c>
      <c r="M378" s="270">
        <f>IF(M285*('4.Cost of Goods-Svcs Sold'!$K$47+'4.Cost of Goods-Svcs Sold'!$K$50)&gt;0,M285*('4.Cost of Goods-Svcs Sold'!$K$47+'4.Cost of Goods-Svcs Sold'!$K$50),0)</f>
        <v>0</v>
      </c>
      <c r="N378" s="270">
        <f>IF(N285*('4.Cost of Goods-Svcs Sold'!$K$47+'4.Cost of Goods-Svcs Sold'!$K$50)&gt;0,N285*('4.Cost of Goods-Svcs Sold'!$K$47+'4.Cost of Goods-Svcs Sold'!$K$50),0)</f>
        <v>0</v>
      </c>
      <c r="O378" s="270">
        <f>IF(O285*('4.Cost of Goods-Svcs Sold'!$K$47+'4.Cost of Goods-Svcs Sold'!$K$50)&gt;0,O285*('4.Cost of Goods-Svcs Sold'!$K$47+'4.Cost of Goods-Svcs Sold'!$K$50),0)</f>
        <v>0</v>
      </c>
      <c r="P378" s="270">
        <f>IF(P285*('4.Cost of Goods-Svcs Sold'!$K$47+'4.Cost of Goods-Svcs Sold'!$K$50)&gt;0,P285*('4.Cost of Goods-Svcs Sold'!$K$47+'4.Cost of Goods-Svcs Sold'!$K$50),0)</f>
        <v>0</v>
      </c>
      <c r="Q378" s="270">
        <f>IF(Q285*('4.Cost of Goods-Svcs Sold'!$K$47+'4.Cost of Goods-Svcs Sold'!$K$50)&gt;0,Q285*('4.Cost of Goods-Svcs Sold'!$K$47+'4.Cost of Goods-Svcs Sold'!$K$50),0)</f>
        <v>0</v>
      </c>
      <c r="R378" s="270">
        <f>IF(R285*('4.Cost of Goods-Svcs Sold'!$K$47+'4.Cost of Goods-Svcs Sold'!$K$50)&gt;0,R285*('4.Cost of Goods-Svcs Sold'!$K$47+'4.Cost of Goods-Svcs Sold'!$K$50),0)</f>
        <v>0</v>
      </c>
      <c r="S378" s="270">
        <f>IF(S285*('4.Cost of Goods-Svcs Sold'!$K$47+'4.Cost of Goods-Svcs Sold'!$K$50)&gt;0,S285*('4.Cost of Goods-Svcs Sold'!$K$47+'4.Cost of Goods-Svcs Sold'!$K$50),0)</f>
        <v>0</v>
      </c>
    </row>
    <row r="379" spans="2:19">
      <c r="E379" s="3" t="s">
        <v>378</v>
      </c>
      <c r="H379" s="270">
        <f>IF(H286*('4.Cost of Goods-Svcs Sold'!$K$47+'4.Cost of Goods-Svcs Sold'!$K$50)&gt;0,H286*('4.Cost of Goods-Svcs Sold'!$K$47+'4.Cost of Goods-Svcs Sold'!$K$50),0)</f>
        <v>0</v>
      </c>
      <c r="I379" s="270">
        <f>IF(I286*('4.Cost of Goods-Svcs Sold'!$K$47+'4.Cost of Goods-Svcs Sold'!$K$50)&gt;0,I286*('4.Cost of Goods-Svcs Sold'!$K$47+'4.Cost of Goods-Svcs Sold'!$K$50),0)</f>
        <v>0</v>
      </c>
      <c r="J379" s="270">
        <f>IF(J286*('4.Cost of Goods-Svcs Sold'!$K$47+'4.Cost of Goods-Svcs Sold'!$K$50)&gt;0,J286*('4.Cost of Goods-Svcs Sold'!$K$47+'4.Cost of Goods-Svcs Sold'!$K$50),0)</f>
        <v>0</v>
      </c>
      <c r="K379" s="270">
        <f>IF(K286*('4.Cost of Goods-Svcs Sold'!$K$47+'4.Cost of Goods-Svcs Sold'!$K$50)&gt;0,K286*('4.Cost of Goods-Svcs Sold'!$K$47+'4.Cost of Goods-Svcs Sold'!$K$50),0)</f>
        <v>0</v>
      </c>
      <c r="L379" s="270">
        <f>IF(L286*('4.Cost of Goods-Svcs Sold'!$K$47+'4.Cost of Goods-Svcs Sold'!$K$50)&gt;0,L286*('4.Cost of Goods-Svcs Sold'!$K$47+'4.Cost of Goods-Svcs Sold'!$K$50),0)</f>
        <v>0</v>
      </c>
      <c r="M379" s="270">
        <f>IF(M286*('4.Cost of Goods-Svcs Sold'!$K$47+'4.Cost of Goods-Svcs Sold'!$K$50)&gt;0,M286*('4.Cost of Goods-Svcs Sold'!$K$47+'4.Cost of Goods-Svcs Sold'!$K$50),0)</f>
        <v>0</v>
      </c>
      <c r="N379" s="270">
        <f>IF(N286*('4.Cost of Goods-Svcs Sold'!$K$47+'4.Cost of Goods-Svcs Sold'!$K$50)&gt;0,N286*('4.Cost of Goods-Svcs Sold'!$K$47+'4.Cost of Goods-Svcs Sold'!$K$50),0)</f>
        <v>0</v>
      </c>
      <c r="O379" s="270">
        <f>IF(O286*('4.Cost of Goods-Svcs Sold'!$K$47+'4.Cost of Goods-Svcs Sold'!$K$50)&gt;0,O286*('4.Cost of Goods-Svcs Sold'!$K$47+'4.Cost of Goods-Svcs Sold'!$K$50),0)</f>
        <v>0</v>
      </c>
      <c r="P379" s="270">
        <f>IF(P286*('4.Cost of Goods-Svcs Sold'!$K$47+'4.Cost of Goods-Svcs Sold'!$K$50)&gt;0,P286*('4.Cost of Goods-Svcs Sold'!$K$47+'4.Cost of Goods-Svcs Sold'!$K$50),0)</f>
        <v>0</v>
      </c>
      <c r="Q379" s="270">
        <f>IF(Q286*('4.Cost of Goods-Svcs Sold'!$K$47+'4.Cost of Goods-Svcs Sold'!$K$50)&gt;0,Q286*('4.Cost of Goods-Svcs Sold'!$K$47+'4.Cost of Goods-Svcs Sold'!$K$50),0)</f>
        <v>0</v>
      </c>
      <c r="R379" s="270">
        <f>IF(R286*('4.Cost of Goods-Svcs Sold'!$K$47+'4.Cost of Goods-Svcs Sold'!$K$50)&gt;0,R286*('4.Cost of Goods-Svcs Sold'!$K$47+'4.Cost of Goods-Svcs Sold'!$K$50),0)</f>
        <v>0</v>
      </c>
      <c r="S379" s="270">
        <f>IF(S286*('4.Cost of Goods-Svcs Sold'!$K$47+'4.Cost of Goods-Svcs Sold'!$K$50)&gt;0,S286*('4.Cost of Goods-Svcs Sold'!$K$47+'4.Cost of Goods-Svcs Sold'!$K$50),0)</f>
        <v>0</v>
      </c>
    </row>
    <row r="381" spans="2:19">
      <c r="B381" s="24" t="s">
        <v>380</v>
      </c>
      <c r="E381" s="3" t="s">
        <v>376</v>
      </c>
      <c r="H381" s="366">
        <f>+H315</f>
        <v>0</v>
      </c>
      <c r="I381" s="366">
        <f t="shared" ref="I381:S381" si="120">+I315</f>
        <v>0</v>
      </c>
      <c r="J381" s="366">
        <f t="shared" si="120"/>
        <v>0</v>
      </c>
      <c r="K381" s="366">
        <f t="shared" si="120"/>
        <v>0</v>
      </c>
      <c r="L381" s="366">
        <f t="shared" si="120"/>
        <v>0</v>
      </c>
      <c r="M381" s="366">
        <f t="shared" si="120"/>
        <v>0</v>
      </c>
      <c r="N381" s="366">
        <f t="shared" si="120"/>
        <v>0</v>
      </c>
      <c r="O381" s="366">
        <f t="shared" si="120"/>
        <v>0</v>
      </c>
      <c r="P381" s="366">
        <f t="shared" si="120"/>
        <v>0</v>
      </c>
      <c r="Q381" s="366">
        <f t="shared" si="120"/>
        <v>0</v>
      </c>
      <c r="R381" s="366">
        <f t="shared" si="120"/>
        <v>0</v>
      </c>
      <c r="S381" s="366">
        <f t="shared" si="120"/>
        <v>0</v>
      </c>
    </row>
    <row r="382" spans="2:19">
      <c r="E382" s="3" t="s">
        <v>377</v>
      </c>
      <c r="H382" s="366">
        <f>+H318</f>
        <v>0</v>
      </c>
      <c r="I382" s="366">
        <f t="shared" ref="I382:S382" si="121">+I318</f>
        <v>0</v>
      </c>
      <c r="J382" s="366">
        <f t="shared" si="121"/>
        <v>0</v>
      </c>
      <c r="K382" s="366">
        <f t="shared" si="121"/>
        <v>0</v>
      </c>
      <c r="L382" s="366">
        <f t="shared" si="121"/>
        <v>0</v>
      </c>
      <c r="M382" s="366">
        <f t="shared" si="121"/>
        <v>0</v>
      </c>
      <c r="N382" s="366">
        <f t="shared" si="121"/>
        <v>0</v>
      </c>
      <c r="O382" s="366">
        <f t="shared" si="121"/>
        <v>0</v>
      </c>
      <c r="P382" s="366">
        <f t="shared" si="121"/>
        <v>0</v>
      </c>
      <c r="Q382" s="366">
        <f t="shared" si="121"/>
        <v>0</v>
      </c>
      <c r="R382" s="366">
        <f t="shared" si="121"/>
        <v>0</v>
      </c>
      <c r="S382" s="366">
        <f t="shared" si="121"/>
        <v>0</v>
      </c>
    </row>
    <row r="383" spans="2:19">
      <c r="E383" s="3" t="s">
        <v>378</v>
      </c>
      <c r="H383" s="366">
        <f>+H321</f>
        <v>0</v>
      </c>
      <c r="I383" s="366">
        <f t="shared" ref="I383:S383" si="122">+I321</f>
        <v>0</v>
      </c>
      <c r="J383" s="366">
        <f t="shared" si="122"/>
        <v>0</v>
      </c>
      <c r="K383" s="366">
        <f t="shared" si="122"/>
        <v>0</v>
      </c>
      <c r="L383" s="366">
        <f t="shared" si="122"/>
        <v>0</v>
      </c>
      <c r="M383" s="366">
        <f t="shared" si="122"/>
        <v>0</v>
      </c>
      <c r="N383" s="366">
        <f t="shared" si="122"/>
        <v>0</v>
      </c>
      <c r="O383" s="366">
        <f t="shared" si="122"/>
        <v>0</v>
      </c>
      <c r="P383" s="366">
        <f t="shared" si="122"/>
        <v>0</v>
      </c>
      <c r="Q383" s="366">
        <f t="shared" si="122"/>
        <v>0</v>
      </c>
      <c r="R383" s="366">
        <f t="shared" si="122"/>
        <v>0</v>
      </c>
      <c r="S383" s="366">
        <f t="shared" si="122"/>
        <v>0</v>
      </c>
    </row>
    <row r="385" spans="2:19">
      <c r="B385" s="24" t="s">
        <v>381</v>
      </c>
      <c r="E385" s="3" t="s">
        <v>376</v>
      </c>
      <c r="H385" s="270">
        <f>+'4a.Prod 1-6 Unit Sales Forecast'!H166</f>
        <v>0</v>
      </c>
      <c r="I385" s="270">
        <f>+'4a.Prod 1-6 Unit Sales Forecast'!I166</f>
        <v>0</v>
      </c>
      <c r="J385" s="270">
        <f>+'4a.Prod 1-6 Unit Sales Forecast'!J166</f>
        <v>0</v>
      </c>
      <c r="K385" s="270">
        <f>+'4a.Prod 1-6 Unit Sales Forecast'!K166</f>
        <v>0</v>
      </c>
      <c r="L385" s="270">
        <f>+'4a.Prod 1-6 Unit Sales Forecast'!L166</f>
        <v>0</v>
      </c>
      <c r="M385" s="270">
        <f>+'4a.Prod 1-6 Unit Sales Forecast'!M166</f>
        <v>0</v>
      </c>
      <c r="N385" s="270">
        <f>+'4a.Prod 1-6 Unit Sales Forecast'!N166</f>
        <v>0</v>
      </c>
      <c r="O385" s="270">
        <f>+'4a.Prod 1-6 Unit Sales Forecast'!O166</f>
        <v>0</v>
      </c>
      <c r="P385" s="270">
        <f>+'4a.Prod 1-6 Unit Sales Forecast'!P166</f>
        <v>0</v>
      </c>
      <c r="Q385" s="270">
        <f>+'4a.Prod 1-6 Unit Sales Forecast'!Q166</f>
        <v>0</v>
      </c>
      <c r="R385" s="270">
        <f>+'4a.Prod 1-6 Unit Sales Forecast'!R166</f>
        <v>0</v>
      </c>
      <c r="S385" s="270">
        <f>+'4a.Prod 1-6 Unit Sales Forecast'!S166</f>
        <v>0</v>
      </c>
    </row>
    <row r="386" spans="2:19">
      <c r="E386" s="3" t="s">
        <v>377</v>
      </c>
      <c r="H386" s="270">
        <f>+'4a.Prod 1-6 Unit Sales Forecast'!H167</f>
        <v>0</v>
      </c>
      <c r="I386" s="270">
        <f>+'4a.Prod 1-6 Unit Sales Forecast'!I167</f>
        <v>0</v>
      </c>
      <c r="J386" s="270">
        <f>+'4a.Prod 1-6 Unit Sales Forecast'!J167</f>
        <v>0</v>
      </c>
      <c r="K386" s="270">
        <f>+'4a.Prod 1-6 Unit Sales Forecast'!K167</f>
        <v>0</v>
      </c>
      <c r="L386" s="270">
        <f>+'4a.Prod 1-6 Unit Sales Forecast'!L167</f>
        <v>0</v>
      </c>
      <c r="M386" s="270">
        <f>+'4a.Prod 1-6 Unit Sales Forecast'!M167</f>
        <v>0</v>
      </c>
      <c r="N386" s="270">
        <f>+'4a.Prod 1-6 Unit Sales Forecast'!N167</f>
        <v>0</v>
      </c>
      <c r="O386" s="270">
        <f>+'4a.Prod 1-6 Unit Sales Forecast'!O167</f>
        <v>0</v>
      </c>
      <c r="P386" s="270">
        <f>+'4a.Prod 1-6 Unit Sales Forecast'!P167</f>
        <v>0</v>
      </c>
      <c r="Q386" s="270">
        <f>+'4a.Prod 1-6 Unit Sales Forecast'!Q167</f>
        <v>0</v>
      </c>
      <c r="R386" s="270">
        <f>+'4a.Prod 1-6 Unit Sales Forecast'!R167</f>
        <v>0</v>
      </c>
      <c r="S386" s="270">
        <f>+'4a.Prod 1-6 Unit Sales Forecast'!S167</f>
        <v>0</v>
      </c>
    </row>
    <row r="387" spans="2:19">
      <c r="E387" s="3" t="s">
        <v>378</v>
      </c>
      <c r="H387" s="270">
        <f>+'4a.Prod 1-6 Unit Sales Forecast'!H168</f>
        <v>0</v>
      </c>
      <c r="I387" s="270">
        <f>+'4a.Prod 1-6 Unit Sales Forecast'!I168</f>
        <v>0</v>
      </c>
      <c r="J387" s="270">
        <f>+'4a.Prod 1-6 Unit Sales Forecast'!J168</f>
        <v>0</v>
      </c>
      <c r="K387" s="270">
        <f>+'4a.Prod 1-6 Unit Sales Forecast'!K168</f>
        <v>0</v>
      </c>
      <c r="L387" s="270">
        <f>+'4a.Prod 1-6 Unit Sales Forecast'!L168</f>
        <v>0</v>
      </c>
      <c r="M387" s="270">
        <f>+'4a.Prod 1-6 Unit Sales Forecast'!M168</f>
        <v>0</v>
      </c>
      <c r="N387" s="270">
        <f>+'4a.Prod 1-6 Unit Sales Forecast'!N168</f>
        <v>0</v>
      </c>
      <c r="O387" s="270">
        <f>+'4a.Prod 1-6 Unit Sales Forecast'!O168</f>
        <v>0</v>
      </c>
      <c r="P387" s="270">
        <f>+'4a.Prod 1-6 Unit Sales Forecast'!P168</f>
        <v>0</v>
      </c>
      <c r="Q387" s="270">
        <f>+'4a.Prod 1-6 Unit Sales Forecast'!Q168</f>
        <v>0</v>
      </c>
      <c r="R387" s="270">
        <f>+'4a.Prod 1-6 Unit Sales Forecast'!R168</f>
        <v>0</v>
      </c>
      <c r="S387" s="270">
        <f>+'4a.Prod 1-6 Unit Sales Forecast'!S168</f>
        <v>0</v>
      </c>
    </row>
    <row r="389" spans="2:19">
      <c r="B389" s="1" t="s">
        <v>383</v>
      </c>
      <c r="E389" s="3" t="s">
        <v>376</v>
      </c>
      <c r="H389" s="270">
        <f>+H381+H385</f>
        <v>0</v>
      </c>
      <c r="I389" s="270">
        <f t="shared" ref="I389:S389" si="123">+I381+I385</f>
        <v>0</v>
      </c>
      <c r="J389" s="270">
        <f t="shared" si="123"/>
        <v>0</v>
      </c>
      <c r="K389" s="270">
        <f t="shared" si="123"/>
        <v>0</v>
      </c>
      <c r="L389" s="270">
        <f t="shared" si="123"/>
        <v>0</v>
      </c>
      <c r="M389" s="270">
        <f t="shared" si="123"/>
        <v>0</v>
      </c>
      <c r="N389" s="270">
        <f t="shared" si="123"/>
        <v>0</v>
      </c>
      <c r="O389" s="270">
        <f t="shared" si="123"/>
        <v>0</v>
      </c>
      <c r="P389" s="270">
        <f t="shared" si="123"/>
        <v>0</v>
      </c>
      <c r="Q389" s="270">
        <f t="shared" si="123"/>
        <v>0</v>
      </c>
      <c r="R389" s="270">
        <f t="shared" si="123"/>
        <v>0</v>
      </c>
      <c r="S389" s="270">
        <f t="shared" si="123"/>
        <v>0</v>
      </c>
    </row>
    <row r="390" spans="2:19">
      <c r="B390" s="1" t="s">
        <v>382</v>
      </c>
      <c r="E390" s="3" t="s">
        <v>377</v>
      </c>
      <c r="H390" s="270">
        <f t="shared" ref="H390:S390" si="124">+H382+H386</f>
        <v>0</v>
      </c>
      <c r="I390" s="270">
        <f t="shared" si="124"/>
        <v>0</v>
      </c>
      <c r="J390" s="270">
        <f t="shared" si="124"/>
        <v>0</v>
      </c>
      <c r="K390" s="270">
        <f t="shared" si="124"/>
        <v>0</v>
      </c>
      <c r="L390" s="270">
        <f t="shared" si="124"/>
        <v>0</v>
      </c>
      <c r="M390" s="270">
        <f t="shared" si="124"/>
        <v>0</v>
      </c>
      <c r="N390" s="270">
        <f t="shared" si="124"/>
        <v>0</v>
      </c>
      <c r="O390" s="270">
        <f t="shared" si="124"/>
        <v>0</v>
      </c>
      <c r="P390" s="270">
        <f t="shared" si="124"/>
        <v>0</v>
      </c>
      <c r="Q390" s="270">
        <f t="shared" si="124"/>
        <v>0</v>
      </c>
      <c r="R390" s="270">
        <f t="shared" si="124"/>
        <v>0</v>
      </c>
      <c r="S390" s="270">
        <f t="shared" si="124"/>
        <v>0</v>
      </c>
    </row>
    <row r="391" spans="2:19">
      <c r="E391" s="3" t="s">
        <v>378</v>
      </c>
      <c r="H391" s="270">
        <f t="shared" ref="H391:S391" si="125">+H383+H387</f>
        <v>0</v>
      </c>
      <c r="I391" s="270">
        <f t="shared" si="125"/>
        <v>0</v>
      </c>
      <c r="J391" s="270">
        <f t="shared" si="125"/>
        <v>0</v>
      </c>
      <c r="K391" s="270">
        <f t="shared" si="125"/>
        <v>0</v>
      </c>
      <c r="L391" s="270">
        <f t="shared" si="125"/>
        <v>0</v>
      </c>
      <c r="M391" s="270">
        <f t="shared" si="125"/>
        <v>0</v>
      </c>
      <c r="N391" s="270">
        <f t="shared" si="125"/>
        <v>0</v>
      </c>
      <c r="O391" s="270">
        <f t="shared" si="125"/>
        <v>0</v>
      </c>
      <c r="P391" s="270">
        <f t="shared" si="125"/>
        <v>0</v>
      </c>
      <c r="Q391" s="270">
        <f t="shared" si="125"/>
        <v>0</v>
      </c>
      <c r="R391" s="270">
        <f t="shared" si="125"/>
        <v>0</v>
      </c>
      <c r="S391" s="270">
        <f t="shared" si="125"/>
        <v>0</v>
      </c>
    </row>
  </sheetData>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1:R70"/>
  <sheetViews>
    <sheetView showGridLines="0" workbookViewId="0">
      <selection activeCell="G28" sqref="G28"/>
    </sheetView>
  </sheetViews>
  <sheetFormatPr defaultColWidth="8.85546875" defaultRowHeight="12"/>
  <cols>
    <col min="1" max="4" width="3" style="1" customWidth="1"/>
    <col min="5" max="5" width="20.85546875" customWidth="1"/>
    <col min="6" max="6" width="5.85546875" customWidth="1"/>
    <col min="7" max="7" width="18.85546875" customWidth="1"/>
    <col min="8" max="8" width="8.85546875" style="16" customWidth="1"/>
    <col min="9" max="11" width="18.85546875" customWidth="1"/>
    <col min="12" max="12" width="5.85546875" customWidth="1"/>
  </cols>
  <sheetData>
    <row r="1" spans="1:18" ht="15.75">
      <c r="A1" s="5" t="str">
        <f>'1. Required Start-Up Funds'!A1</f>
        <v xml:space="preserve"> </v>
      </c>
      <c r="Q1" s="12">
        <f ca="1">NOW()</f>
        <v>44645.344484374997</v>
      </c>
    </row>
    <row r="2" spans="1:18" ht="15.75">
      <c r="A2" s="5" t="s">
        <v>217</v>
      </c>
    </row>
    <row r="3" spans="1:18" ht="12.75" customHeight="1">
      <c r="E3" s="1"/>
      <c r="F3" s="37"/>
      <c r="G3" s="37"/>
      <c r="H3" s="43"/>
      <c r="I3" s="37"/>
      <c r="J3" s="37"/>
      <c r="K3" s="37"/>
      <c r="L3" s="37"/>
      <c r="M3" s="37"/>
      <c r="N3" s="37"/>
      <c r="O3" s="37"/>
      <c r="P3" s="37"/>
      <c r="Q3" s="37"/>
    </row>
    <row r="4" spans="1:18" ht="12.75" customHeight="1">
      <c r="E4" s="37"/>
      <c r="F4" s="37"/>
      <c r="G4" s="37"/>
      <c r="H4" s="43"/>
      <c r="I4" s="37"/>
      <c r="J4" s="37"/>
      <c r="K4" s="37"/>
      <c r="L4" s="37"/>
      <c r="M4" s="37"/>
      <c r="N4" s="37"/>
      <c r="O4" s="37"/>
      <c r="P4" s="37"/>
      <c r="Q4" s="37"/>
    </row>
    <row r="5" spans="1:18" ht="12.75" customHeight="1">
      <c r="E5" s="37"/>
      <c r="F5" s="37"/>
      <c r="G5" s="37"/>
      <c r="H5" s="43"/>
      <c r="I5" s="37"/>
      <c r="J5" s="37"/>
      <c r="K5" s="37"/>
      <c r="L5" s="37"/>
      <c r="M5" s="37"/>
      <c r="N5" s="37"/>
      <c r="O5" s="37"/>
      <c r="P5" s="37"/>
      <c r="Q5" s="37"/>
    </row>
    <row r="6" spans="1:18" ht="12.75" customHeight="1">
      <c r="A6" s="20" t="s">
        <v>218</v>
      </c>
      <c r="B6" s="20"/>
      <c r="C6" s="20"/>
      <c r="D6" s="20"/>
      <c r="E6" s="43"/>
      <c r="F6" s="41"/>
      <c r="G6" s="79"/>
      <c r="H6" s="41"/>
      <c r="I6" s="41"/>
      <c r="J6" s="41"/>
      <c r="K6" s="41"/>
      <c r="L6" s="43"/>
      <c r="M6" s="41"/>
      <c r="N6" s="43"/>
      <c r="O6" s="43"/>
      <c r="P6" s="43"/>
      <c r="Q6" s="43"/>
      <c r="R6" s="16"/>
    </row>
    <row r="7" spans="1:18" ht="12.75" customHeight="1">
      <c r="A7" s="20"/>
      <c r="B7" s="20" t="s">
        <v>219</v>
      </c>
      <c r="C7" s="20"/>
      <c r="D7" s="20"/>
      <c r="E7" s="43"/>
      <c r="F7" s="43"/>
      <c r="G7" s="43"/>
      <c r="H7" s="43"/>
      <c r="I7" s="43"/>
      <c r="J7" s="43"/>
      <c r="K7" s="43"/>
      <c r="L7" s="43"/>
      <c r="M7" s="43"/>
      <c r="N7" s="43"/>
      <c r="O7" s="43"/>
      <c r="P7" s="43"/>
      <c r="Q7" s="43"/>
      <c r="R7" s="16"/>
    </row>
    <row r="8" spans="1:18" ht="12.75" customHeight="1">
      <c r="A8" s="20"/>
      <c r="B8" s="20"/>
      <c r="C8" s="20" t="s">
        <v>220</v>
      </c>
      <c r="D8" s="20"/>
      <c r="E8" s="43"/>
      <c r="F8" s="43"/>
      <c r="G8" s="108">
        <v>1</v>
      </c>
      <c r="H8" s="43"/>
      <c r="I8" s="43"/>
      <c r="J8" s="80"/>
      <c r="K8" s="80"/>
      <c r="L8" s="43"/>
      <c r="M8" s="43"/>
      <c r="N8" s="43"/>
      <c r="O8" s="43"/>
      <c r="P8" s="43"/>
      <c r="Q8" s="43"/>
      <c r="R8" s="16"/>
    </row>
    <row r="9" spans="1:18" ht="12.75" customHeight="1">
      <c r="A9" s="20"/>
      <c r="B9" s="20"/>
      <c r="C9" s="20" t="s">
        <v>221</v>
      </c>
      <c r="D9" s="20"/>
      <c r="E9" s="43"/>
      <c r="F9" s="43"/>
      <c r="G9" s="108">
        <v>0</v>
      </c>
      <c r="H9" s="43"/>
      <c r="I9" s="43"/>
      <c r="J9" s="43"/>
      <c r="K9" s="43"/>
      <c r="L9" s="43"/>
      <c r="M9" s="43"/>
      <c r="N9" s="43"/>
      <c r="O9" s="43"/>
      <c r="P9" s="43"/>
      <c r="Q9" s="43"/>
      <c r="R9" s="16"/>
    </row>
    <row r="10" spans="1:18" ht="12.75" customHeight="1" thickBot="1">
      <c r="A10" s="20"/>
      <c r="B10" s="20"/>
      <c r="C10" s="20" t="s">
        <v>222</v>
      </c>
      <c r="D10" s="20"/>
      <c r="E10" s="43"/>
      <c r="F10" s="43"/>
      <c r="G10" s="109">
        <v>0</v>
      </c>
      <c r="H10" s="43"/>
      <c r="I10" s="43"/>
      <c r="J10" s="43"/>
      <c r="K10" s="43"/>
      <c r="L10" s="43"/>
      <c r="M10" s="43"/>
      <c r="N10" s="43"/>
      <c r="O10" s="43"/>
      <c r="P10" s="43"/>
      <c r="Q10" s="43"/>
      <c r="R10" s="16"/>
    </row>
    <row r="11" spans="1:18" ht="12.75" customHeight="1" thickBot="1">
      <c r="A11" s="20"/>
      <c r="B11" s="20" t="s">
        <v>223</v>
      </c>
      <c r="C11" s="20"/>
      <c r="D11" s="20"/>
      <c r="E11" s="43"/>
      <c r="F11" s="43"/>
      <c r="G11" s="81">
        <f>SUM(G8:G10)</f>
        <v>1</v>
      </c>
      <c r="H11" s="44"/>
      <c r="I11" s="46"/>
      <c r="J11" s="46"/>
      <c r="K11" s="46"/>
      <c r="L11" s="43"/>
      <c r="M11" s="43"/>
      <c r="N11" s="43"/>
      <c r="O11" s="43"/>
      <c r="P11" s="43"/>
      <c r="Q11" s="43"/>
      <c r="R11" s="16"/>
    </row>
    <row r="12" spans="1:18" ht="12.75" customHeight="1" thickTop="1">
      <c r="A12" s="20"/>
      <c r="B12" s="20"/>
      <c r="C12" s="20"/>
      <c r="D12" s="20"/>
      <c r="E12" s="43"/>
      <c r="F12" s="43"/>
      <c r="G12" s="46"/>
      <c r="H12" s="46"/>
      <c r="I12" s="46"/>
      <c r="J12" s="46"/>
      <c r="K12" s="46"/>
      <c r="L12" s="43"/>
      <c r="M12" s="43"/>
      <c r="N12" s="43"/>
      <c r="O12" s="43"/>
      <c r="P12" s="43"/>
      <c r="Q12" s="43"/>
      <c r="R12" s="16"/>
    </row>
    <row r="13" spans="1:18" ht="12.75" customHeight="1">
      <c r="A13" s="20" t="s">
        <v>232</v>
      </c>
      <c r="B13" s="20"/>
      <c r="C13" s="20"/>
      <c r="D13" s="20"/>
      <c r="E13" s="43"/>
      <c r="F13" s="43"/>
      <c r="G13" s="46"/>
      <c r="H13" s="46"/>
      <c r="I13" s="46"/>
      <c r="J13" s="46"/>
      <c r="K13" s="46"/>
      <c r="L13" s="43"/>
      <c r="M13" s="43"/>
      <c r="N13" s="43"/>
      <c r="O13" s="43"/>
      <c r="P13" s="43"/>
      <c r="Q13" s="43"/>
      <c r="R13" s="16"/>
    </row>
    <row r="14" spans="1:18" ht="12.75" customHeight="1">
      <c r="A14" s="20"/>
      <c r="B14" s="20" t="s">
        <v>233</v>
      </c>
      <c r="C14" s="20"/>
      <c r="D14" s="20"/>
      <c r="E14" s="43"/>
      <c r="F14" s="43"/>
      <c r="G14" s="46"/>
      <c r="H14" s="46"/>
      <c r="I14" s="46"/>
      <c r="J14" s="46"/>
      <c r="K14" s="46"/>
      <c r="L14" s="43"/>
      <c r="M14" s="43"/>
      <c r="N14" s="43"/>
      <c r="O14" s="43"/>
      <c r="P14" s="43"/>
      <c r="Q14" s="43"/>
      <c r="R14" s="16"/>
    </row>
    <row r="15" spans="1:18" ht="12.75" customHeight="1">
      <c r="A15" s="20"/>
      <c r="B15" s="20"/>
      <c r="C15" s="20" t="s">
        <v>220</v>
      </c>
      <c r="D15" s="20"/>
      <c r="E15" s="43"/>
      <c r="F15" s="43"/>
      <c r="G15" s="108">
        <v>1</v>
      </c>
      <c r="H15" s="46"/>
      <c r="I15" s="46"/>
      <c r="J15" s="46"/>
      <c r="K15" s="46"/>
      <c r="L15" s="43"/>
      <c r="M15" s="43"/>
      <c r="N15" s="43"/>
      <c r="O15" s="43"/>
      <c r="P15" s="43"/>
      <c r="Q15" s="43"/>
      <c r="R15" s="16"/>
    </row>
    <row r="16" spans="1:18" ht="12.75" customHeight="1">
      <c r="A16" s="20"/>
      <c r="B16" s="20"/>
      <c r="C16" s="20" t="s">
        <v>221</v>
      </c>
      <c r="D16" s="20"/>
      <c r="E16" s="43"/>
      <c r="F16" s="43"/>
      <c r="G16" s="108">
        <v>0</v>
      </c>
      <c r="H16" s="46"/>
      <c r="I16" s="46"/>
      <c r="J16" s="46"/>
      <c r="K16" s="46"/>
      <c r="L16" s="43"/>
      <c r="M16" s="43"/>
      <c r="N16" s="43"/>
      <c r="O16" s="43"/>
      <c r="P16" s="43"/>
      <c r="Q16" s="43"/>
      <c r="R16" s="16"/>
    </row>
    <row r="17" spans="1:18" ht="12.75" customHeight="1" thickBot="1">
      <c r="A17" s="20"/>
      <c r="B17" s="20"/>
      <c r="C17" s="20" t="s">
        <v>222</v>
      </c>
      <c r="D17" s="20"/>
      <c r="E17" s="43"/>
      <c r="F17" s="43"/>
      <c r="G17" s="109">
        <v>0</v>
      </c>
      <c r="H17" s="46"/>
      <c r="I17" s="46"/>
      <c r="J17" s="46"/>
      <c r="K17" s="46"/>
      <c r="L17" s="43"/>
      <c r="M17" s="43"/>
      <c r="N17" s="43"/>
      <c r="O17" s="43"/>
      <c r="P17" s="43"/>
      <c r="Q17" s="43"/>
      <c r="R17" s="16"/>
    </row>
    <row r="18" spans="1:18" ht="12.75" customHeight="1" thickBot="1">
      <c r="A18" s="20"/>
      <c r="B18" s="20" t="s">
        <v>234</v>
      </c>
      <c r="C18" s="20"/>
      <c r="D18" s="20"/>
      <c r="E18" s="43"/>
      <c r="F18" s="43"/>
      <c r="G18" s="81">
        <f>SUM(G15:G17)</f>
        <v>1</v>
      </c>
      <c r="H18" s="46"/>
      <c r="I18" s="46"/>
      <c r="J18" s="46"/>
      <c r="K18" s="46"/>
      <c r="L18" s="43"/>
      <c r="M18" s="43"/>
      <c r="N18" s="43"/>
      <c r="O18" s="43"/>
      <c r="P18" s="43"/>
      <c r="Q18" s="43"/>
      <c r="R18" s="16"/>
    </row>
    <row r="19" spans="1:18" ht="12.75" customHeight="1" thickTop="1">
      <c r="A19" s="20"/>
      <c r="B19" s="20"/>
      <c r="C19" s="20"/>
      <c r="D19" s="20"/>
      <c r="E19" s="43"/>
      <c r="F19" s="43"/>
      <c r="G19" s="46"/>
      <c r="H19" s="46"/>
      <c r="I19" s="46"/>
      <c r="J19" s="46"/>
      <c r="K19" s="46"/>
      <c r="L19" s="43"/>
      <c r="M19" s="43"/>
      <c r="N19" s="43"/>
      <c r="O19" s="43"/>
      <c r="P19" s="43"/>
      <c r="Q19" s="43"/>
      <c r="R19" s="16"/>
    </row>
    <row r="20" spans="1:18" ht="12.75" customHeight="1">
      <c r="A20" s="20" t="s">
        <v>224</v>
      </c>
      <c r="B20" s="20"/>
      <c r="C20" s="20"/>
      <c r="D20" s="20"/>
      <c r="E20" s="43"/>
      <c r="F20" s="43"/>
      <c r="G20" s="46"/>
      <c r="H20" s="46"/>
      <c r="I20" s="46"/>
      <c r="J20" s="46"/>
      <c r="K20" s="46"/>
      <c r="L20" s="43"/>
      <c r="M20" s="43"/>
      <c r="N20" s="43"/>
      <c r="O20" s="43"/>
      <c r="P20" s="43"/>
      <c r="Q20" s="43"/>
      <c r="R20" s="16"/>
    </row>
    <row r="21" spans="1:18" ht="12.75" customHeight="1">
      <c r="A21" s="20"/>
      <c r="B21" s="20" t="s">
        <v>225</v>
      </c>
      <c r="C21" s="20"/>
      <c r="D21" s="20"/>
      <c r="E21" s="43"/>
      <c r="F21" s="43"/>
      <c r="G21" s="183">
        <f>+MinCash</f>
        <v>0</v>
      </c>
      <c r="H21" s="46"/>
      <c r="I21" s="46"/>
      <c r="J21" s="46"/>
      <c r="K21" s="46"/>
      <c r="L21" s="43"/>
      <c r="M21" s="43"/>
      <c r="N21" s="43"/>
      <c r="O21" s="43"/>
      <c r="P21" s="43"/>
      <c r="Q21" s="43"/>
      <c r="R21" s="16"/>
    </row>
    <row r="22" spans="1:18" ht="12.75" customHeight="1">
      <c r="A22" s="20"/>
      <c r="B22" s="20" t="s">
        <v>226</v>
      </c>
      <c r="C22" s="20"/>
      <c r="D22" s="20"/>
      <c r="E22" s="43"/>
      <c r="F22" s="43"/>
      <c r="G22" s="108">
        <v>0.08</v>
      </c>
      <c r="H22" s="46"/>
      <c r="I22" s="46"/>
      <c r="J22" s="46"/>
      <c r="K22" s="46"/>
      <c r="L22" s="43"/>
      <c r="M22" s="43"/>
      <c r="N22" s="43"/>
      <c r="O22" s="43"/>
      <c r="P22" s="43"/>
      <c r="Q22" s="43"/>
      <c r="R22" s="16"/>
    </row>
    <row r="23" spans="1:18" ht="12.75" customHeight="1">
      <c r="A23" s="20"/>
      <c r="B23" s="20"/>
      <c r="C23" s="20"/>
      <c r="D23" s="20"/>
      <c r="E23" s="43"/>
      <c r="F23" s="56"/>
      <c r="G23" s="46"/>
      <c r="H23" s="46"/>
      <c r="I23" s="46"/>
      <c r="J23" s="131"/>
      <c r="K23" s="131"/>
      <c r="L23" s="43"/>
      <c r="M23" s="43"/>
      <c r="N23" s="43"/>
      <c r="O23" s="43"/>
      <c r="P23" s="43"/>
      <c r="Q23" s="43"/>
      <c r="R23" s="16"/>
    </row>
    <row r="24" spans="1:18" ht="12.75" customHeight="1">
      <c r="A24" s="1" t="s">
        <v>227</v>
      </c>
      <c r="B24" s="20"/>
      <c r="C24" s="20"/>
      <c r="D24" s="20"/>
      <c r="E24" s="43"/>
      <c r="F24" s="56"/>
      <c r="G24" s="46"/>
      <c r="H24" s="46"/>
      <c r="I24" s="46"/>
      <c r="J24" s="131"/>
      <c r="K24" s="131"/>
      <c r="L24" s="43"/>
      <c r="M24" s="43"/>
      <c r="N24" s="43"/>
      <c r="O24" s="43"/>
      <c r="P24" s="43"/>
      <c r="Q24" s="43"/>
      <c r="R24" s="16"/>
    </row>
    <row r="25" spans="1:18" ht="12.75" customHeight="1">
      <c r="A25" s="20"/>
      <c r="B25" s="20" t="s">
        <v>228</v>
      </c>
      <c r="C25" s="20"/>
      <c r="D25" s="20"/>
      <c r="E25" s="43"/>
      <c r="F25" s="58"/>
      <c r="G25" s="110">
        <v>0.25</v>
      </c>
      <c r="H25" s="46"/>
      <c r="I25" s="46"/>
      <c r="J25" s="131"/>
      <c r="K25" s="131"/>
      <c r="L25" s="43"/>
      <c r="M25" s="43"/>
      <c r="N25" s="43"/>
      <c r="O25" s="43"/>
      <c r="P25" s="43"/>
      <c r="Q25" s="43"/>
      <c r="R25" s="16"/>
    </row>
    <row r="26" spans="1:18" ht="12.75" customHeight="1">
      <c r="A26" s="20"/>
      <c r="B26" s="20"/>
      <c r="C26" s="20"/>
      <c r="D26" s="20"/>
      <c r="E26" s="43"/>
      <c r="F26" s="43"/>
      <c r="G26" s="46"/>
      <c r="H26" s="46"/>
      <c r="I26" s="46"/>
      <c r="J26" s="131">
        <f>IF(G28=0,0,(('1. Required Start-Up Funds'!I29-'1. Required Start-Up Funds'!E28-'1. Required Start-Up Funds'!E20-'1. Required Start-Up Funds'!E27)/'6. Cash Receipts-Disbursements'!G28))</f>
        <v>0</v>
      </c>
      <c r="K26" s="131">
        <f>J26/12</f>
        <v>0</v>
      </c>
      <c r="L26" s="43"/>
      <c r="M26" s="43"/>
      <c r="N26" s="43"/>
      <c r="O26" s="43"/>
      <c r="P26" s="43"/>
      <c r="Q26" s="43"/>
      <c r="R26" s="16"/>
    </row>
    <row r="27" spans="1:18" ht="12.75" customHeight="1">
      <c r="A27" s="20" t="s">
        <v>229</v>
      </c>
      <c r="B27" s="20"/>
      <c r="C27" s="20"/>
      <c r="D27" s="20"/>
      <c r="E27" s="43"/>
      <c r="F27" s="43"/>
      <c r="G27" s="46"/>
      <c r="H27" s="46"/>
      <c r="I27" s="46"/>
      <c r="J27" s="131">
        <f>IF(G28=0,0,('1. Required Start-Up Funds'!E27/'6. Cash Receipts-Disbursements'!G28))</f>
        <v>0</v>
      </c>
      <c r="K27" s="131">
        <f>J27/12</f>
        <v>0</v>
      </c>
      <c r="L27" s="43"/>
      <c r="M27" s="43"/>
      <c r="N27" s="43"/>
      <c r="O27" s="43"/>
      <c r="P27" s="43"/>
      <c r="Q27" s="43"/>
      <c r="R27" s="16"/>
    </row>
    <row r="28" spans="1:18" ht="12.75" customHeight="1">
      <c r="A28" s="20"/>
      <c r="B28" s="20" t="s">
        <v>230</v>
      </c>
      <c r="C28" s="20"/>
      <c r="D28" s="20"/>
      <c r="E28" s="43"/>
      <c r="F28" s="56"/>
      <c r="G28" s="111">
        <v>3</v>
      </c>
      <c r="H28" s="46"/>
      <c r="I28" s="46"/>
      <c r="J28" s="131"/>
      <c r="K28" s="131">
        <f>K26+K27</f>
        <v>0</v>
      </c>
      <c r="L28" s="43"/>
      <c r="M28" s="43"/>
      <c r="N28" s="43"/>
      <c r="O28" s="43"/>
      <c r="P28" s="43"/>
      <c r="Q28" s="43"/>
      <c r="R28" s="16"/>
    </row>
    <row r="29" spans="1:18" ht="12.75" customHeight="1">
      <c r="A29" s="20"/>
      <c r="B29" s="20"/>
      <c r="C29" s="20"/>
      <c r="D29" s="20"/>
      <c r="E29" s="43"/>
      <c r="F29" s="58"/>
      <c r="G29" s="46"/>
      <c r="H29" s="46"/>
      <c r="I29" s="46"/>
      <c r="J29" s="131"/>
      <c r="K29" s="131"/>
      <c r="L29" s="43"/>
      <c r="M29" s="43"/>
      <c r="N29" s="43"/>
      <c r="O29" s="43"/>
      <c r="P29" s="43"/>
      <c r="Q29" s="43"/>
      <c r="R29" s="16"/>
    </row>
    <row r="30" spans="1:18" ht="12.75" customHeight="1">
      <c r="A30" s="20"/>
      <c r="B30" s="20"/>
      <c r="C30" s="20"/>
      <c r="D30" s="20"/>
      <c r="E30" s="43"/>
      <c r="F30" s="43"/>
      <c r="G30" s="46"/>
      <c r="H30" s="46"/>
      <c r="I30" s="46"/>
      <c r="J30" s="46"/>
      <c r="K30" s="46"/>
      <c r="L30" s="43"/>
      <c r="M30" s="43"/>
      <c r="N30" s="43"/>
      <c r="O30" s="43"/>
      <c r="P30" s="43"/>
      <c r="Q30" s="43"/>
      <c r="R30" s="16"/>
    </row>
    <row r="31" spans="1:18" ht="12.75" customHeight="1">
      <c r="A31" s="20"/>
      <c r="B31" s="20"/>
      <c r="C31" s="20"/>
      <c r="D31" s="20"/>
      <c r="E31" s="43"/>
      <c r="F31" s="43"/>
      <c r="G31" s="46"/>
      <c r="H31" s="46"/>
      <c r="I31" s="46"/>
      <c r="J31" s="46"/>
      <c r="K31" s="46"/>
      <c r="L31" s="43"/>
      <c r="M31" s="43"/>
      <c r="N31" s="43"/>
      <c r="O31" s="43"/>
      <c r="P31" s="43"/>
      <c r="Q31" s="43"/>
      <c r="R31" s="16"/>
    </row>
    <row r="32" spans="1:18" ht="12.75" customHeight="1">
      <c r="A32" s="20"/>
      <c r="B32" s="20"/>
      <c r="C32" s="20"/>
      <c r="D32" s="20"/>
      <c r="E32" s="43"/>
      <c r="F32" s="43"/>
      <c r="G32" s="46"/>
      <c r="H32" s="46"/>
      <c r="I32" s="46"/>
      <c r="J32" s="46"/>
      <c r="K32" s="46"/>
      <c r="L32" s="43"/>
      <c r="M32" s="43"/>
      <c r="N32" s="43"/>
      <c r="O32" s="43"/>
      <c r="P32" s="43"/>
      <c r="Q32" s="43"/>
      <c r="R32" s="16"/>
    </row>
    <row r="33" spans="1:18" ht="12.75" customHeight="1">
      <c r="A33" s="20"/>
      <c r="B33" s="20"/>
      <c r="C33" s="20"/>
      <c r="D33" s="20"/>
      <c r="E33" s="43"/>
      <c r="F33" s="43"/>
      <c r="G33" s="46"/>
      <c r="H33" s="46"/>
      <c r="I33" s="46"/>
      <c r="J33" s="46"/>
      <c r="K33" s="46"/>
      <c r="L33" s="43"/>
      <c r="M33" s="43"/>
      <c r="N33" s="43"/>
      <c r="O33" s="43"/>
      <c r="P33" s="43"/>
      <c r="Q33" s="43"/>
      <c r="R33" s="16"/>
    </row>
    <row r="34" spans="1:18" ht="12.75" customHeight="1">
      <c r="A34" s="20"/>
      <c r="B34" s="20"/>
      <c r="C34" s="20"/>
      <c r="D34" s="20"/>
      <c r="E34" s="43"/>
      <c r="F34" s="43"/>
      <c r="G34" s="46"/>
      <c r="H34" s="46"/>
      <c r="I34" s="46"/>
      <c r="J34" s="46"/>
      <c r="K34" s="46"/>
      <c r="L34" s="43"/>
      <c r="M34" s="43"/>
      <c r="N34" s="43"/>
      <c r="O34" s="43"/>
      <c r="P34" s="43"/>
      <c r="Q34" s="43"/>
      <c r="R34" s="16"/>
    </row>
    <row r="35" spans="1:18" ht="12.75" customHeight="1">
      <c r="A35" s="20"/>
      <c r="B35" s="20"/>
      <c r="C35" s="20"/>
      <c r="D35" s="20"/>
      <c r="E35" s="43"/>
      <c r="F35" s="43"/>
      <c r="G35" s="46"/>
      <c r="H35" s="46"/>
      <c r="I35" s="46"/>
      <c r="J35" s="46"/>
      <c r="K35" s="46"/>
      <c r="L35" s="43"/>
      <c r="M35" s="43"/>
      <c r="N35" s="43"/>
      <c r="O35" s="43"/>
      <c r="P35" s="43"/>
      <c r="Q35" s="43"/>
      <c r="R35" s="16"/>
    </row>
    <row r="36" spans="1:18" ht="12.75" customHeight="1">
      <c r="A36" s="20"/>
      <c r="B36" s="20"/>
      <c r="C36" s="20"/>
      <c r="D36" s="20"/>
      <c r="E36" s="43"/>
      <c r="F36" s="43"/>
      <c r="G36" s="46"/>
      <c r="H36" s="46"/>
      <c r="I36" s="46"/>
      <c r="J36" s="46"/>
      <c r="K36" s="46"/>
      <c r="L36" s="43"/>
      <c r="M36" s="43"/>
      <c r="N36" s="43"/>
      <c r="O36" s="43"/>
      <c r="P36" s="43"/>
      <c r="Q36" s="43"/>
      <c r="R36" s="16"/>
    </row>
    <row r="37" spans="1:18" ht="12.75" customHeight="1">
      <c r="A37" s="20"/>
      <c r="B37" s="20"/>
      <c r="C37" s="20"/>
      <c r="D37" s="20"/>
      <c r="E37" s="43"/>
      <c r="F37" s="43"/>
      <c r="G37" s="46"/>
      <c r="H37" s="46"/>
      <c r="I37" s="46"/>
      <c r="J37" s="46"/>
      <c r="K37" s="46"/>
      <c r="L37" s="43"/>
      <c r="M37" s="43"/>
      <c r="N37" s="43"/>
      <c r="O37" s="43"/>
      <c r="P37" s="43"/>
      <c r="Q37" s="43"/>
      <c r="R37" s="16"/>
    </row>
    <row r="38" spans="1:18" ht="12.75" customHeight="1">
      <c r="A38" s="20"/>
      <c r="B38" s="20"/>
      <c r="C38" s="20"/>
      <c r="D38" s="20"/>
      <c r="E38" s="43"/>
      <c r="F38" s="43"/>
      <c r="G38" s="46"/>
      <c r="H38" s="46"/>
      <c r="I38" s="46"/>
      <c r="J38" s="46"/>
      <c r="K38" s="46"/>
      <c r="L38" s="43"/>
      <c r="M38" s="43"/>
      <c r="N38" s="43"/>
      <c r="O38" s="43"/>
      <c r="P38" s="43"/>
      <c r="Q38" s="43"/>
      <c r="R38" s="16"/>
    </row>
    <row r="39" spans="1:18" ht="12.75" customHeight="1">
      <c r="A39" s="20"/>
      <c r="B39" s="20"/>
      <c r="C39" s="20"/>
      <c r="D39" s="20"/>
      <c r="E39" s="43"/>
      <c r="F39" s="43"/>
      <c r="G39" s="46"/>
      <c r="H39" s="46"/>
      <c r="I39" s="46"/>
      <c r="J39" s="46"/>
      <c r="K39" s="46"/>
      <c r="L39" s="43"/>
      <c r="M39" s="43"/>
      <c r="N39" s="43"/>
      <c r="O39" s="43"/>
      <c r="P39" s="43"/>
      <c r="Q39" s="43"/>
      <c r="R39" s="16"/>
    </row>
    <row r="40" spans="1:18" ht="12.75" customHeight="1">
      <c r="A40" s="20"/>
      <c r="B40" s="20"/>
      <c r="C40" s="20"/>
      <c r="D40" s="20"/>
      <c r="E40" s="43"/>
      <c r="F40" s="43"/>
      <c r="G40" s="46"/>
      <c r="H40" s="46"/>
      <c r="I40" s="46"/>
      <c r="J40" s="46"/>
      <c r="K40" s="46"/>
      <c r="L40" s="43"/>
      <c r="M40" s="43"/>
      <c r="N40" s="43"/>
      <c r="O40" s="43"/>
      <c r="P40" s="43"/>
      <c r="Q40" s="43"/>
      <c r="R40" s="16"/>
    </row>
    <row r="41" spans="1:18" ht="12.75" customHeight="1">
      <c r="A41" s="20"/>
      <c r="B41" s="20"/>
      <c r="C41" s="20"/>
      <c r="D41" s="20"/>
      <c r="E41" s="43"/>
      <c r="F41" s="43"/>
      <c r="G41" s="46"/>
      <c r="H41" s="46"/>
      <c r="I41" s="46"/>
      <c r="J41" s="46"/>
      <c r="K41" s="46"/>
      <c r="L41" s="43"/>
      <c r="M41" s="43"/>
      <c r="N41" s="43"/>
      <c r="O41" s="43"/>
      <c r="P41" s="43"/>
      <c r="Q41" s="43"/>
      <c r="R41" s="16"/>
    </row>
    <row r="42" spans="1:18" ht="12.75" customHeight="1">
      <c r="A42" s="20"/>
      <c r="B42" s="20"/>
      <c r="C42" s="20"/>
      <c r="D42" s="20"/>
      <c r="E42" s="43"/>
      <c r="F42" s="43"/>
      <c r="G42" s="46"/>
      <c r="H42" s="46"/>
      <c r="I42" s="46"/>
      <c r="J42" s="46"/>
      <c r="K42" s="46"/>
      <c r="L42" s="43"/>
      <c r="M42" s="43"/>
      <c r="N42" s="43"/>
      <c r="O42" s="43"/>
      <c r="P42" s="43"/>
      <c r="Q42" s="43"/>
      <c r="R42" s="16"/>
    </row>
    <row r="43" spans="1:18" ht="12.75" customHeight="1">
      <c r="A43" s="20"/>
      <c r="B43" s="20"/>
      <c r="C43" s="20"/>
      <c r="D43" s="20"/>
      <c r="E43" s="43"/>
      <c r="F43" s="43"/>
      <c r="G43" s="46"/>
      <c r="H43" s="46"/>
      <c r="I43" s="46"/>
      <c r="J43" s="46"/>
      <c r="K43" s="46"/>
      <c r="L43" s="43"/>
      <c r="M43" s="43"/>
      <c r="N43" s="43"/>
      <c r="O43" s="43"/>
      <c r="P43" s="43"/>
      <c r="Q43" s="43"/>
      <c r="R43" s="16"/>
    </row>
    <row r="44" spans="1:18" ht="12.75" customHeight="1">
      <c r="A44" s="20"/>
      <c r="B44" s="20"/>
      <c r="C44" s="20"/>
      <c r="D44" s="20"/>
      <c r="E44" s="43"/>
      <c r="F44" s="43"/>
      <c r="G44" s="46"/>
      <c r="H44" s="46"/>
      <c r="I44" s="46"/>
      <c r="J44" s="46"/>
      <c r="K44" s="46"/>
      <c r="L44" s="43"/>
      <c r="M44" s="43"/>
      <c r="N44" s="43"/>
      <c r="O44" s="43"/>
      <c r="P44" s="43"/>
      <c r="Q44" s="43"/>
      <c r="R44" s="16"/>
    </row>
    <row r="45" spans="1:18" ht="12.75" customHeight="1">
      <c r="A45" s="20"/>
      <c r="B45" s="20"/>
      <c r="C45" s="20"/>
      <c r="D45" s="20"/>
      <c r="E45" s="43"/>
      <c r="F45" s="43"/>
      <c r="G45" s="46"/>
      <c r="H45" s="46"/>
      <c r="I45" s="46"/>
      <c r="J45" s="46"/>
      <c r="K45" s="46"/>
      <c r="L45" s="43"/>
      <c r="M45" s="43"/>
      <c r="N45" s="43"/>
      <c r="O45" s="43"/>
      <c r="P45" s="43"/>
      <c r="Q45" s="43"/>
      <c r="R45" s="16"/>
    </row>
    <row r="46" spans="1:18" ht="12.75" customHeight="1">
      <c r="A46" s="20"/>
      <c r="B46" s="20"/>
      <c r="C46" s="20"/>
      <c r="D46" s="20"/>
      <c r="E46" s="43"/>
      <c r="F46" s="43"/>
      <c r="G46" s="54"/>
      <c r="H46" s="54"/>
      <c r="I46" s="54"/>
      <c r="J46" s="54"/>
      <c r="K46" s="54"/>
      <c r="L46" s="43"/>
      <c r="M46" s="43"/>
      <c r="N46" s="43"/>
      <c r="O46" s="43"/>
      <c r="P46" s="43"/>
      <c r="Q46" s="43"/>
      <c r="R46" s="16"/>
    </row>
    <row r="47" spans="1:18" ht="12.75" customHeight="1">
      <c r="A47" s="20"/>
      <c r="B47" s="20"/>
      <c r="C47" s="20"/>
      <c r="D47" s="20"/>
      <c r="E47" s="43"/>
      <c r="F47" s="43"/>
      <c r="G47" s="50"/>
      <c r="H47" s="50"/>
      <c r="I47" s="50"/>
      <c r="J47" s="50"/>
      <c r="K47" s="50"/>
      <c r="L47" s="43"/>
      <c r="M47" s="43"/>
      <c r="N47" s="43"/>
      <c r="O47" s="43"/>
      <c r="P47" s="43"/>
      <c r="Q47" s="43"/>
      <c r="R47" s="16"/>
    </row>
    <row r="48" spans="1:18" ht="12.75" customHeight="1">
      <c r="A48" s="20"/>
      <c r="B48" s="20"/>
      <c r="C48" s="20"/>
      <c r="D48" s="20"/>
      <c r="E48" s="43"/>
      <c r="F48" s="43"/>
      <c r="G48" s="44"/>
      <c r="H48" s="44"/>
      <c r="I48" s="44"/>
      <c r="J48" s="44"/>
      <c r="K48" s="44"/>
      <c r="L48" s="43"/>
      <c r="M48" s="43"/>
      <c r="N48" s="43"/>
      <c r="O48" s="43"/>
      <c r="P48" s="43"/>
      <c r="Q48" s="43"/>
      <c r="R48" s="16"/>
    </row>
    <row r="49" spans="1:18" ht="12.75" customHeight="1">
      <c r="A49" s="20"/>
      <c r="B49" s="20"/>
      <c r="C49" s="20"/>
      <c r="D49" s="20"/>
      <c r="E49" s="43"/>
      <c r="F49" s="43"/>
      <c r="G49" s="43"/>
      <c r="H49" s="43"/>
      <c r="I49" s="43"/>
      <c r="J49" s="43"/>
      <c r="K49" s="43"/>
      <c r="L49" s="43"/>
      <c r="M49" s="43"/>
      <c r="N49" s="43"/>
      <c r="O49" s="43"/>
      <c r="P49" s="43"/>
      <c r="Q49" s="43"/>
      <c r="R49" s="16"/>
    </row>
    <row r="50" spans="1:18" ht="12.75" customHeight="1">
      <c r="A50" s="20"/>
      <c r="B50" s="20"/>
      <c r="C50" s="20"/>
      <c r="D50" s="20"/>
      <c r="E50" s="43"/>
      <c r="F50" s="43"/>
      <c r="G50" s="43"/>
      <c r="H50" s="43"/>
      <c r="I50" s="43"/>
      <c r="J50" s="43"/>
      <c r="K50" s="43"/>
      <c r="L50" s="43"/>
      <c r="M50" s="43"/>
      <c r="N50" s="43"/>
      <c r="O50" s="43"/>
      <c r="P50" s="43"/>
      <c r="Q50" s="43"/>
      <c r="R50" s="16"/>
    </row>
    <row r="51" spans="1:18" ht="12.75" customHeight="1">
      <c r="A51" s="20"/>
      <c r="B51" s="20"/>
      <c r="C51" s="20"/>
      <c r="D51" s="20"/>
      <c r="E51" s="16"/>
      <c r="F51" s="16"/>
      <c r="G51" s="16"/>
      <c r="I51" s="16"/>
      <c r="J51" s="16"/>
      <c r="K51" s="16"/>
      <c r="L51" s="16"/>
      <c r="M51" s="16"/>
      <c r="N51" s="16"/>
      <c r="O51" s="16"/>
      <c r="P51" s="16"/>
      <c r="Q51" s="16"/>
      <c r="R51" s="16"/>
    </row>
    <row r="52" spans="1:18" ht="12.75" customHeight="1">
      <c r="A52" s="20"/>
      <c r="B52" s="20"/>
      <c r="C52" s="20"/>
      <c r="D52" s="20"/>
      <c r="E52" s="16"/>
      <c r="F52" s="16"/>
      <c r="G52" s="16"/>
      <c r="I52" s="16"/>
      <c r="J52" s="16"/>
      <c r="K52" s="16"/>
      <c r="L52" s="16"/>
      <c r="M52" s="16"/>
      <c r="N52" s="16"/>
      <c r="O52" s="16"/>
      <c r="P52" s="16"/>
      <c r="Q52" s="16"/>
      <c r="R52" s="16"/>
    </row>
    <row r="53" spans="1:18" ht="12.75" customHeight="1"/>
    <row r="54" spans="1:18" ht="12.75" customHeight="1"/>
    <row r="55" spans="1:18" ht="12.75" customHeight="1"/>
    <row r="56" spans="1:18" ht="12.75" customHeight="1"/>
    <row r="57" spans="1:18" ht="12.75" customHeight="1"/>
    <row r="58" spans="1:18" ht="12.75" customHeight="1"/>
    <row r="59" spans="1:18" ht="12.75" customHeight="1"/>
    <row r="60" spans="1:18" ht="12.75" customHeight="1"/>
    <row r="61" spans="1:18" ht="12.75" customHeight="1"/>
    <row r="62" spans="1:18" ht="12.75" customHeight="1"/>
    <row r="63" spans="1:18" ht="12.75" customHeight="1"/>
    <row r="64" spans="1:18" ht="12.75" customHeight="1"/>
    <row r="65" ht="12.75" customHeight="1"/>
    <row r="66" ht="12.75" customHeight="1"/>
    <row r="67" ht="12.75" customHeight="1"/>
    <row r="68" ht="12.75" customHeight="1"/>
    <row r="69" ht="12.75" customHeight="1"/>
    <row r="70" ht="12.75" customHeight="1"/>
  </sheetData>
  <phoneticPr fontId="4" type="noConversion"/>
  <pageMargins left="0.75" right="0.75" top="1" bottom="1" header="0.5" footer="0.5"/>
  <pageSetup scale="75" orientation="landscape" blackAndWhite="1" horizontalDpi="300" verticalDpi="300"/>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26</vt:i4>
      </vt:variant>
    </vt:vector>
  </HeadingPairs>
  <TitlesOfParts>
    <vt:vector size="53" baseType="lpstr">
      <vt:lpstr>Introduction</vt:lpstr>
      <vt:lpstr>1. Required Start-Up Funds</vt:lpstr>
      <vt:lpstr>2.  Salary and Wage Detail</vt:lpstr>
      <vt:lpstr>2a. Salaries and Wages Summary</vt:lpstr>
      <vt:lpstr>3. Fixed Operating Expenses</vt:lpstr>
      <vt:lpstr>4.Cost of Goods-Svcs Sold</vt:lpstr>
      <vt:lpstr>4a.Prod 1-6 Unit Sales Forecast</vt:lpstr>
      <vt:lpstr>5.Prod 7-20 Unit Sales Forecast</vt:lpstr>
      <vt:lpstr>6. Cash Receipts-Disbursements</vt:lpstr>
      <vt:lpstr>7. Beginning Balance Sheet</vt:lpstr>
      <vt:lpstr>8. Income Statement</vt:lpstr>
      <vt:lpstr>9. Cash Flow Statement</vt:lpstr>
      <vt:lpstr>10. Balance Sheet</vt:lpstr>
      <vt:lpstr>11. Year End Summary</vt:lpstr>
      <vt:lpstr>12. Income Statement (2)</vt:lpstr>
      <vt:lpstr>13. Cash Flow Statement (2)</vt:lpstr>
      <vt:lpstr>14. Balance Sheet (2)</vt:lpstr>
      <vt:lpstr>15. Income Statement (3)</vt:lpstr>
      <vt:lpstr>16. Cash Flow Statement (3)</vt:lpstr>
      <vt:lpstr>17. Balance Sheet (3)</vt:lpstr>
      <vt:lpstr>18. Financial Ratios</vt:lpstr>
      <vt:lpstr>19. Breakeven Analysis</vt:lpstr>
      <vt:lpstr>20. Debt Amoritization Schedule</vt:lpstr>
      <vt:lpstr>21. Financial Diagnostics</vt:lpstr>
      <vt:lpstr>22. Cash Flow Graph</vt:lpstr>
      <vt:lpstr>Sheet2</vt:lpstr>
      <vt:lpstr>Sheet1</vt:lpstr>
      <vt:lpstr>MinCash</vt:lpstr>
      <vt:lpstr>mininv</vt:lpstr>
      <vt:lpstr>mininv2</vt:lpstr>
      <vt:lpstr>mininv3</vt:lpstr>
      <vt:lpstr>MinRed</vt:lpstr>
      <vt:lpstr>'10. Balance Sheet'!Print_Area</vt:lpstr>
      <vt:lpstr>'11. Year End Summary'!Print_Area</vt:lpstr>
      <vt:lpstr>'12. Income Statement (2)'!Print_Area</vt:lpstr>
      <vt:lpstr>'14. Balance Sheet (2)'!Print_Area</vt:lpstr>
      <vt:lpstr>'15. Income Statement (3)'!Print_Area</vt:lpstr>
      <vt:lpstr>'17. Balance Sheet (3)'!Print_Area</vt:lpstr>
      <vt:lpstr>'8. Income Statement'!Print_Area</vt:lpstr>
      <vt:lpstr>'9. Cash Flow Statement'!Print_Area</vt:lpstr>
      <vt:lpstr>Introduction!Print_Area</vt:lpstr>
      <vt:lpstr>'10. Balance Sheet'!Print_Titles</vt:lpstr>
      <vt:lpstr>'11. Year End Summary'!Print_Titles</vt:lpstr>
      <vt:lpstr>'12. Income Statement (2)'!Print_Titles</vt:lpstr>
      <vt:lpstr>'13. Cash Flow Statement (2)'!Print_Titles</vt:lpstr>
      <vt:lpstr>'14. Balance Sheet (2)'!Print_Titles</vt:lpstr>
      <vt:lpstr>'15. Income Statement (3)'!Print_Titles</vt:lpstr>
      <vt:lpstr>'16. Cash Flow Statement (3)'!Print_Titles</vt:lpstr>
      <vt:lpstr>'17. Balance Sheet (3)'!Print_Titles</vt:lpstr>
      <vt:lpstr>'7. Beginning Balance Sheet'!Print_Titles</vt:lpstr>
      <vt:lpstr>'8. Income Statement'!Print_Titles</vt:lpstr>
      <vt:lpstr>'9. Cash Flow Statement'!Print_Titles</vt:lpstr>
      <vt:lpstr>startingcash</vt:lpstr>
    </vt:vector>
  </TitlesOfParts>
  <Company>CEDC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Hess</dc:creator>
  <cp:lastModifiedBy>Edward Doyle</cp:lastModifiedBy>
  <cp:lastPrinted>2018-05-25T22:51:00Z</cp:lastPrinted>
  <dcterms:created xsi:type="dcterms:W3CDTF">2006-04-19T18:37:42Z</dcterms:created>
  <dcterms:modified xsi:type="dcterms:W3CDTF">2022-03-25T15:16:04Z</dcterms:modified>
</cp:coreProperties>
</file>